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esktop\ТСРВ-043 (2СО+1ГВС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0" i="1" l="1"/>
  <c r="O32" i="1"/>
  <c r="O40" i="1" l="1"/>
  <c r="O39" i="1"/>
  <c r="O60" i="1" l="1"/>
  <c r="O61" i="1"/>
  <c r="M39" i="1"/>
  <c r="J73" i="1" l="1"/>
  <c r="J72" i="1"/>
  <c r="F49" i="1"/>
  <c r="O36" i="1"/>
  <c r="O35" i="1"/>
  <c r="O34" i="1"/>
  <c r="O43" i="1" s="1"/>
  <c r="O33" i="1"/>
  <c r="O29" i="1"/>
  <c r="O30" i="1" s="1"/>
  <c r="P60" i="1" s="1"/>
  <c r="O27" i="1"/>
  <c r="O28" i="1" s="1"/>
  <c r="O25" i="1"/>
  <c r="O26" i="1" s="1"/>
  <c r="P23" i="1"/>
  <c r="O23" i="1"/>
  <c r="O24" i="1" s="1"/>
  <c r="O20" i="1"/>
  <c r="O16" i="1"/>
  <c r="O45" i="1" l="1"/>
  <c r="O46" i="1"/>
  <c r="O42" i="1"/>
  <c r="O67" i="1"/>
  <c r="O68" i="1"/>
  <c r="O62" i="1"/>
  <c r="O63" i="1"/>
  <c r="M72" i="1"/>
  <c r="O72" i="1" s="1"/>
  <c r="M73" i="1"/>
  <c r="O73" i="1" s="1"/>
  <c r="P61" i="1"/>
  <c r="O44" i="1"/>
  <c r="O55" i="1" s="1"/>
  <c r="O41" i="1"/>
  <c r="J70" i="1" l="1"/>
  <c r="P63" i="1"/>
  <c r="M70" i="1" s="1"/>
  <c r="P62" i="1"/>
  <c r="L70" i="1" s="1"/>
  <c r="H70" i="1"/>
  <c r="O52" i="1"/>
  <c r="P52" i="1" s="1"/>
  <c r="L67" i="1" s="1"/>
  <c r="O54" i="1"/>
  <c r="H68" i="1" s="1"/>
  <c r="J68" i="1"/>
  <c r="P55" i="1"/>
  <c r="M68" i="1" s="1"/>
  <c r="O59" i="1"/>
  <c r="O53" i="1"/>
  <c r="H67" i="1" l="1"/>
  <c r="P54" i="1"/>
  <c r="L68" i="1" s="1"/>
  <c r="O58" i="1"/>
  <c r="P59" i="1"/>
  <c r="J67" i="1"/>
  <c r="P53" i="1"/>
  <c r="M67" i="1" s="1"/>
  <c r="P58" i="1" l="1"/>
  <c r="O57" i="1"/>
  <c r="P57" i="1" l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<sst xmlns="http://schemas.openxmlformats.org/spreadsheetml/2006/main" count="174" uniqueCount="123">
  <si>
    <t>Расчет диапазонов измеряемых расходов</t>
  </si>
  <si>
    <t>Исходные данные для расчетов</t>
  </si>
  <si>
    <t>Отопление</t>
  </si>
  <si>
    <t>Qот =</t>
  </si>
  <si>
    <t>Гкал/ч</t>
  </si>
  <si>
    <t>Вентиляция при Тнв = -11 гр.С</t>
  </si>
  <si>
    <t>Qвент =</t>
  </si>
  <si>
    <t>Вентиляция при Тнв = -26 гр.С</t>
  </si>
  <si>
    <t xml:space="preserve">ГВСср </t>
  </si>
  <si>
    <t>ГВСmax</t>
  </si>
  <si>
    <t>Qmax =</t>
  </si>
  <si>
    <t>Температурный график</t>
  </si>
  <si>
    <t>Tгр =T1-T2</t>
  </si>
  <si>
    <t xml:space="preserve">Температура ГВС     </t>
  </si>
  <si>
    <t>Tгвс =</t>
  </si>
  <si>
    <t>град.С</t>
  </si>
  <si>
    <t>Tхв =</t>
  </si>
  <si>
    <t>Давление в прямом тр-де Т1</t>
  </si>
  <si>
    <t>P1 =</t>
  </si>
  <si>
    <t>кГс/см2</t>
  </si>
  <si>
    <t>Давление в обратном тр-де Т2</t>
  </si>
  <si>
    <t>P2 =</t>
  </si>
  <si>
    <t>P3 =</t>
  </si>
  <si>
    <t>P4 =</t>
  </si>
  <si>
    <t xml:space="preserve">Допустимые потери 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</si>
  <si>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</si>
  <si>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</si>
  <si>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</si>
  <si>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</si>
  <si>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</si>
  <si>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Допустимые потери по одному тр-ду Т3,Т4</t>
  </si>
  <si>
    <t>Рпот гвс</t>
  </si>
  <si>
    <t>Наличие авт. регулирования</t>
  </si>
  <si>
    <t>Расходы сетевой воды:</t>
  </si>
  <si>
    <t>Gот ном=</t>
  </si>
  <si>
    <t>т/ч</t>
  </si>
  <si>
    <t>Gвент ном=</t>
  </si>
  <si>
    <t>ГВСср</t>
  </si>
  <si>
    <t>Gгвс ср=</t>
  </si>
  <si>
    <t>Gmax =</t>
  </si>
  <si>
    <t>ГВСц</t>
  </si>
  <si>
    <t>Gц =</t>
  </si>
  <si>
    <t>плотность сетевой воды в Т1</t>
  </si>
  <si>
    <t>плотность сетевой воды в Т2</t>
  </si>
  <si>
    <t>плотность сетевой воды в Т3</t>
  </si>
  <si>
    <t>плотность сетевой воды в Т4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</si>
  <si>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</si>
  <si>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</si>
  <si>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</si>
  <si>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</si>
  <si>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Gгвс max</t>
  </si>
  <si>
    <t>Наименование тр-да</t>
  </si>
  <si>
    <t>м3/ч</t>
  </si>
  <si>
    <t>при f =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</si>
  <si>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</si>
  <si>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</si>
  <si>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</si>
  <si>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</si>
  <si>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</si>
  <si>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</si>
  <si>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</si>
  <si>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</si>
  <si>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</si>
  <si>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</si>
  <si>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</si>
  <si>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</si>
  <si>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</si>
  <si>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</si>
  <si>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</si>
  <si>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</si>
  <si>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</si>
  <si>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</si>
  <si>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</si>
  <si>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</si>
  <si>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</si>
  <si>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</si>
  <si>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</si>
  <si>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</si>
  <si>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</si>
  <si>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</si>
  <si>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</si>
  <si>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</si>
  <si>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</si>
  <si>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</si>
  <si>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</si>
  <si>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ХХХ-ХХ-АТС. РР</t>
  </si>
  <si>
    <t>Ф.И.О.</t>
  </si>
  <si>
    <t>Qгвс ср=</t>
  </si>
  <si>
    <t xml:space="preserve">Температура холодной воды  </t>
  </si>
  <si>
    <t>Давление в подающем Т3</t>
  </si>
  <si>
    <t>Давление в циркуляционном Т4</t>
  </si>
  <si>
    <t>Статическая высота системы (от)</t>
  </si>
  <si>
    <t>Высота верхнего прибора над вводом(гвс)</t>
  </si>
  <si>
    <t>Потери давления в системе, включая свободный излив</t>
  </si>
  <si>
    <t>см. примечание</t>
  </si>
  <si>
    <t>Gот max=1,25Gот ном</t>
  </si>
  <si>
    <t>Gвент min=0*Gвент ном</t>
  </si>
  <si>
    <t>Gвент max(-11)=1,25Gвент ном(-11)</t>
  </si>
  <si>
    <t>Gвент max(-26)=1,25Gвент ном(-26)</t>
  </si>
  <si>
    <t>Схема присоединения системы отопления и вентиляции</t>
  </si>
  <si>
    <t>прямой</t>
  </si>
  <si>
    <t>Gпр min=Gот min + Gвент min</t>
  </si>
  <si>
    <t>Gпр max=Gот max + Gвент max</t>
  </si>
  <si>
    <t>обратный</t>
  </si>
  <si>
    <t>Gобр min=Gот min + Gвент min</t>
  </si>
  <si>
    <t>Gобр max=Gот max + Gвент max</t>
  </si>
  <si>
    <t>Gпод гвс max=Gгвс max*(1+K)</t>
  </si>
  <si>
    <t>где К=f(Gгвс max/Gц)</t>
  </si>
  <si>
    <t>циркуляционный ГВС</t>
  </si>
  <si>
    <t>Gц гвс min=0,05Gц</t>
  </si>
  <si>
    <t>Gц гвс max=Gц</t>
  </si>
  <si>
    <t>Gгвс max=Gmax</t>
  </si>
  <si>
    <t>Коэф.</t>
  </si>
  <si>
    <t>наличие полотенцесушителей</t>
  </si>
  <si>
    <t>Gот ном</t>
  </si>
  <si>
    <t>Gот min=</t>
  </si>
  <si>
    <t>Gгвс min=0,04Gгвс max</t>
  </si>
  <si>
    <t>наличие авторегулирования</t>
  </si>
  <si>
    <t>ТСЖ «Улыбка»
г. Иваново, ул. Петрова, д. 6</t>
  </si>
  <si>
    <t xml:space="preserve">подающий ГВС </t>
  </si>
  <si>
    <t>Т3</t>
  </si>
  <si>
    <t>Система теплоснабжения 3-х трубная</t>
  </si>
  <si>
    <t>Схема присоединения системы ГВС - открытая без циркуляционной линии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</si>
</sst>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&quot;р.&quot;_-;\-* #,##0&quot;р.&quot;_-;_-* &quot;-&quot;&quot;р.&quot;_-;_-@_-"/>
    <numFmt numFmtId="164" formatCode="0.000"/>
    <numFmt numFmtId="165" formatCode="General_)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2" fontId="5" fillId="0" borderId="0" applyFont="0" applyFill="0" applyBorder="0" applyAlignment="0" applyProtection="0"/>
  </cellStyleXfs>
  <cellXfs count="220">
    <xf numFmtId="0" fontId="0" fillId="0" borderId="0" xfId="0"/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4" fontId="7" fillId="2" borderId="2" xfId="0" applyNumberFormat="1" applyFont="1" applyFill="1" applyBorder="1" applyAlignment="1"/>
    <xf numFmtId="164" fontId="7" fillId="2" borderId="12" xfId="0" applyNumberFormat="1" applyFont="1" applyFill="1" applyBorder="1" applyAlignment="1"/>
    <xf numFmtId="164" fontId="7" fillId="2" borderId="6" xfId="0" applyNumberFormat="1" applyFont="1" applyFill="1" applyBorder="1" applyAlignment="1"/>
    <xf numFmtId="2" fontId="7" fillId="2" borderId="12" xfId="0" applyNumberFormat="1" applyFont="1" applyFill="1" applyBorder="1" applyAlignment="1" applyProtection="1">
      <alignment vertical="center"/>
    </xf>
    <xf numFmtId="2" fontId="7" fillId="2" borderId="9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right"/>
    </xf>
    <xf numFmtId="0" fontId="7" fillId="2" borderId="0" xfId="0" applyFont="1" applyFill="1" applyBorder="1"/>
    <xf numFmtId="2" fontId="7" fillId="2" borderId="0" xfId="0" applyNumberFormat="1" applyFont="1" applyFill="1" applyBorder="1"/>
    <xf numFmtId="165" fontId="7" fillId="2" borderId="0" xfId="0" applyNumberFormat="1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/>
    <xf numFmtId="0" fontId="7" fillId="2" borderId="1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6" fillId="2" borderId="13" xfId="0" applyFont="1" applyFill="1" applyBorder="1" applyAlignment="1"/>
    <xf numFmtId="0" fontId="7" fillId="2" borderId="2" xfId="0" applyFont="1" applyFill="1" applyBorder="1" applyAlignment="1">
      <alignment vertical="center"/>
    </xf>
    <xf numFmtId="164" fontId="7" fillId="2" borderId="30" xfId="0" applyNumberFormat="1" applyFont="1" applyFill="1" applyBorder="1" applyAlignment="1"/>
    <xf numFmtId="0" fontId="7" fillId="2" borderId="31" xfId="0" applyFont="1" applyFill="1" applyBorder="1" applyAlignment="1">
      <alignment vertical="center"/>
    </xf>
    <xf numFmtId="0" fontId="7" fillId="2" borderId="33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0" fontId="7" fillId="2" borderId="37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2" fontId="7" fillId="2" borderId="43" xfId="0" applyNumberFormat="1" applyFont="1" applyFill="1" applyBorder="1" applyAlignment="1">
      <alignment vertical="center"/>
    </xf>
    <xf numFmtId="0" fontId="7" fillId="2" borderId="44" xfId="0" applyFont="1" applyFill="1" applyBorder="1" applyAlignment="1">
      <alignment horizontal="left" vertical="center"/>
    </xf>
    <xf numFmtId="0" fontId="7" fillId="2" borderId="45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left" vertical="center"/>
    </xf>
    <xf numFmtId="0" fontId="7" fillId="2" borderId="47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/>
    </xf>
    <xf numFmtId="164" fontId="7" fillId="2" borderId="5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2" fontId="11" fillId="2" borderId="0" xfId="0" applyNumberFormat="1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left"/>
    </xf>
    <xf numFmtId="164" fontId="7" fillId="2" borderId="30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/>
    </xf>
    <xf numFmtId="164" fontId="7" fillId="2" borderId="6" xfId="0" applyNumberFormat="1" applyFont="1" applyFill="1" applyBorder="1" applyAlignment="1">
      <alignment vertical="center"/>
    </xf>
    <xf numFmtId="164" fontId="7" fillId="2" borderId="12" xfId="0" applyNumberFormat="1" applyFont="1" applyFill="1" applyBorder="1" applyAlignment="1">
      <alignment vertical="center"/>
    </xf>
    <xf numFmtId="164" fontId="7" fillId="2" borderId="43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164" fontId="7" fillId="2" borderId="14" xfId="0" applyNumberFormat="1" applyFont="1" applyFill="1" applyBorder="1" applyAlignment="1">
      <alignment horizontal="right" vertical="center"/>
    </xf>
    <xf numFmtId="164" fontId="7" fillId="2" borderId="36" xfId="0" applyNumberFormat="1" applyFont="1" applyFill="1" applyBorder="1" applyAlignment="1">
      <alignment horizontal="right" vertical="center"/>
    </xf>
    <xf numFmtId="164" fontId="7" fillId="2" borderId="42" xfId="0" applyNumberFormat="1" applyFont="1" applyFill="1" applyBorder="1" applyAlignment="1">
      <alignment horizontal="right" vertical="center"/>
    </xf>
    <xf numFmtId="164" fontId="7" fillId="2" borderId="51" xfId="0" applyNumberFormat="1" applyFont="1" applyFill="1" applyBorder="1" applyAlignment="1">
      <alignment horizontal="right" vertical="center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42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/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vertical="center"/>
    </xf>
    <xf numFmtId="164" fontId="7" fillId="2" borderId="56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164" fontId="7" fillId="2" borderId="14" xfId="0" applyNumberFormat="1" applyFont="1" applyFill="1" applyBorder="1" applyAlignment="1" applyProtection="1">
      <alignment horizontal="center" vertical="center"/>
      <protection locked="0"/>
    </xf>
    <xf numFmtId="164" fontId="7" fillId="2" borderId="36" xfId="0" applyNumberFormat="1" applyFont="1" applyFill="1" applyBorder="1" applyAlignment="1" applyProtection="1">
      <alignment horizontal="center" vertical="center"/>
      <protection locked="0"/>
    </xf>
    <xf numFmtId="164" fontId="7" fillId="2" borderId="42" xfId="0" applyNumberFormat="1" applyFont="1" applyFill="1" applyBorder="1" applyAlignment="1" applyProtection="1">
      <alignment horizontal="center" vertical="center"/>
      <protection locked="0"/>
    </xf>
    <xf numFmtId="164" fontId="7" fillId="2" borderId="51" xfId="0" applyNumberFormat="1" applyFont="1" applyFill="1" applyBorder="1" applyAlignment="1" applyProtection="1">
      <alignment horizontal="center" vertical="center"/>
      <protection locked="0"/>
    </xf>
    <xf numFmtId="164" fontId="7" fillId="2" borderId="56" xfId="0" applyNumberFormat="1" applyFont="1" applyFill="1" applyBorder="1" applyAlignment="1" applyProtection="1">
      <alignment horizontal="center" vertical="center"/>
      <protection locked="0"/>
    </xf>
    <xf numFmtId="164" fontId="7" fillId="2" borderId="44" xfId="0" applyNumberFormat="1" applyFont="1" applyFill="1" applyBorder="1" applyAlignment="1" applyProtection="1">
      <alignment horizontal="center" vertical="center"/>
      <protection locked="0"/>
    </xf>
    <xf numFmtId="164" fontId="7" fillId="2" borderId="5" xfId="0" applyNumberFormat="1" applyFont="1" applyFill="1" applyBorder="1" applyAlignment="1" applyProtection="1">
      <alignment horizontal="center" vertical="center"/>
      <protection locked="0"/>
    </xf>
    <xf numFmtId="164" fontId="7" fillId="2" borderId="35" xfId="0" applyNumberFormat="1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164" fontId="7" fillId="2" borderId="33" xfId="0" applyNumberFormat="1" applyFont="1" applyFill="1" applyBorder="1" applyAlignment="1" applyProtection="1">
      <alignment horizontal="center" vertical="center"/>
      <protection locked="0"/>
    </xf>
    <xf numFmtId="164" fontId="7" fillId="2" borderId="14" xfId="0" applyNumberFormat="1" applyFont="1" applyFill="1" applyBorder="1" applyAlignment="1">
      <alignment horizontal="center" vertical="center"/>
    </xf>
    <xf numFmtId="164" fontId="7" fillId="2" borderId="42" xfId="0" applyNumberFormat="1" applyFont="1" applyFill="1" applyBorder="1" applyAlignment="1">
      <alignment horizontal="center" vertical="center"/>
    </xf>
    <xf numFmtId="164" fontId="7" fillId="2" borderId="56" xfId="0" applyNumberFormat="1" applyFont="1" applyFill="1" applyBorder="1" applyAlignment="1">
      <alignment horizontal="center" vertical="center"/>
    </xf>
    <xf numFmtId="166" fontId="7" fillId="2" borderId="5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43" xfId="0" applyFont="1" applyFill="1" applyBorder="1" applyAlignment="1">
      <alignment horizontal="right" vertical="center"/>
    </xf>
    <xf numFmtId="0" fontId="7" fillId="2" borderId="22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0" fontId="7" fillId="2" borderId="21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48" xfId="0" applyFont="1" applyFill="1" applyBorder="1" applyAlignment="1">
      <alignment vertical="center"/>
    </xf>
    <xf numFmtId="0" fontId="7" fillId="2" borderId="48" xfId="0" applyFont="1" applyFill="1" applyBorder="1" applyAlignment="1">
      <alignment horizontal="right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42" fontId="7" fillId="2" borderId="2" xfId="1" applyFont="1" applyFill="1" applyBorder="1" applyAlignment="1">
      <alignment horizontal="right" vertical="center"/>
    </xf>
    <xf numFmtId="42" fontId="7" fillId="2" borderId="3" xfId="1" applyFont="1" applyFill="1" applyBorder="1" applyAlignment="1">
      <alignment horizontal="right" vertical="center"/>
    </xf>
    <xf numFmtId="42" fontId="7" fillId="2" borderId="4" xfId="1" applyFont="1" applyFill="1" applyBorder="1" applyAlignment="1">
      <alignment horizontal="right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right" vertical="center"/>
    </xf>
    <xf numFmtId="0" fontId="7" fillId="2" borderId="28" xfId="0" applyFont="1" applyFill="1" applyBorder="1" applyAlignment="1">
      <alignment horizontal="righ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39" xfId="0" applyFont="1" applyFill="1" applyBorder="1" applyAlignment="1">
      <alignment horizontal="left" vertical="center"/>
    </xf>
    <xf numFmtId="0" fontId="7" fillId="2" borderId="40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0" fontId="6" fillId="2" borderId="17" xfId="0" applyFont="1" applyFill="1" applyBorder="1" applyAlignment="1"/>
    <xf numFmtId="0" fontId="6" fillId="2" borderId="0" xfId="0" applyFont="1" applyFill="1" applyBorder="1" applyAlignment="1"/>
    <xf numFmtId="0" fontId="7" fillId="2" borderId="17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right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5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1" xfId="0" applyFont="1" applyFill="1" applyBorder="1" applyAlignment="1"/>
    <xf numFmtId="0" fontId="7" fillId="2" borderId="5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7" fillId="2" borderId="29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50" xfId="0" applyFont="1" applyFill="1" applyBorder="1" applyAlignment="1">
      <alignment horizontal="right" vertical="center"/>
    </xf>
    <xf numFmtId="0" fontId="7" fillId="2" borderId="40" xfId="0" applyFont="1" applyFill="1" applyBorder="1" applyAlignment="1">
      <alignment horizontal="right" vertical="center"/>
    </xf>
    <xf numFmtId="0" fontId="7" fillId="2" borderId="41" xfId="0" applyFont="1" applyFill="1" applyBorder="1" applyAlignment="1">
      <alignment horizontal="right" vertical="center"/>
    </xf>
    <xf numFmtId="0" fontId="7" fillId="2" borderId="54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2">
    <cellStyle name="Денежный [0]" xfId="1" builtin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91</xdr:row>
          <xdr:rowOff>9525</xdr:rowOff>
        </xdr:from>
        <xdr:to>
          <xdr:col>15</xdr:col>
          <xdr:colOff>704850</xdr:colOff>
          <xdr:row>94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tabSelected="1" view="pageBreakPreview" topLeftCell="A31" zoomScale="89" zoomScaleNormal="100" zoomScaleSheetLayoutView="89" workbookViewId="0">
      <selection activeCell="F64" sqref="F64:P64"/>
    </sheetView>
  </sheetViews>
  <sheetFormatPr defaultRowHeight="15.75" x14ac:dyDescent="0.25"/>
  <cols>
    <col min="1" max="5" width="3.28515625" style="6" customWidth="1"/>
    <col min="6" max="6" width="6.7109375" style="6" customWidth="1"/>
    <col min="7" max="7" width="8.7109375" style="6" customWidth="1"/>
    <col min="8" max="8" width="7.7109375" style="6" customWidth="1"/>
    <col min="9" max="9" width="8.7109375" style="6" customWidth="1"/>
    <col min="10" max="11" width="9.7109375" style="6" customWidth="1"/>
    <col min="12" max="12" width="18.7109375" style="6" customWidth="1"/>
    <col min="13" max="13" width="11.140625" style="6" customWidth="1"/>
    <col min="14" max="16" width="10.7109375" style="6" customWidth="1"/>
    <col min="17" max="17" width="3.28515625" style="6" customWidth="1"/>
    <col min="18" max="16384" width="9.140625" style="6"/>
  </cols>
  <sheetData>
    <row r="1" spans="1:17" ht="12.95" customHeight="1" thickBot="1" x14ac:dyDescent="0.3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spans="1:17" ht="12.95" customHeight="1" thickBot="1" x14ac:dyDescent="0.3">
      <c r="A2" s="7"/>
      <c r="B2" s="8"/>
      <c r="C2" s="8"/>
      <c r="D2" s="8"/>
      <c r="E2" s="8"/>
      <c r="F2" s="116" t="s">
        <v>1</v>
      </c>
      <c r="G2" s="117"/>
      <c r="H2" s="117"/>
      <c r="I2" s="117"/>
      <c r="J2" s="117"/>
      <c r="K2" s="117"/>
      <c r="L2" s="117"/>
      <c r="M2" s="117"/>
      <c r="N2" s="117"/>
      <c r="O2" s="117"/>
      <c r="P2" s="118"/>
      <c r="Q2" s="9"/>
    </row>
    <row r="3" spans="1:17" ht="12.95" customHeight="1" x14ac:dyDescent="0.2">
      <c r="A3" s="7"/>
      <c r="B3" s="8"/>
      <c r="C3" s="8"/>
      <c r="D3" s="8"/>
      <c r="E3" s="8"/>
      <c r="F3" s="160" t="s">
        <v>2</v>
      </c>
      <c r="G3" s="161"/>
      <c r="H3" s="161"/>
      <c r="I3" s="161"/>
      <c r="J3" s="161"/>
      <c r="K3" s="162"/>
      <c r="L3" s="140" t="s">
        <v>3</v>
      </c>
      <c r="M3" s="141"/>
      <c r="N3" s="141"/>
      <c r="O3" s="29">
        <v>0.27</v>
      </c>
      <c r="P3" s="30" t="s">
        <v>4</v>
      </c>
      <c r="Q3" s="9"/>
    </row>
    <row r="4" spans="1:17" ht="12.95" customHeight="1" x14ac:dyDescent="0.2">
      <c r="A4" s="7"/>
      <c r="B4" s="8"/>
      <c r="C4" s="8"/>
      <c r="D4" s="8"/>
      <c r="E4" s="8"/>
      <c r="F4" s="163" t="s">
        <v>5</v>
      </c>
      <c r="G4" s="164"/>
      <c r="H4" s="164"/>
      <c r="I4" s="164"/>
      <c r="J4" s="164"/>
      <c r="K4" s="165"/>
      <c r="L4" s="98" t="s">
        <v>6</v>
      </c>
      <c r="M4" s="99"/>
      <c r="N4" s="99"/>
      <c r="O4" s="14">
        <v>0</v>
      </c>
      <c r="P4" s="31" t="s">
        <v>4</v>
      </c>
      <c r="Q4" s="9"/>
    </row>
    <row r="5" spans="1:17" ht="12.95" customHeight="1" x14ac:dyDescent="0.2">
      <c r="A5" s="7"/>
      <c r="B5" s="8"/>
      <c r="C5" s="8"/>
      <c r="D5" s="8"/>
      <c r="E5" s="8"/>
      <c r="F5" s="142" t="s">
        <v>7</v>
      </c>
      <c r="G5" s="143"/>
      <c r="H5" s="143"/>
      <c r="I5" s="143"/>
      <c r="J5" s="143"/>
      <c r="K5" s="144"/>
      <c r="L5" s="100" t="s">
        <v>6</v>
      </c>
      <c r="M5" s="101"/>
      <c r="N5" s="101"/>
      <c r="O5" s="15">
        <v>0</v>
      </c>
      <c r="P5" s="32" t="s">
        <v>4</v>
      </c>
      <c r="Q5" s="9"/>
    </row>
    <row r="6" spans="1:17" ht="12.95" customHeight="1" x14ac:dyDescent="0.2">
      <c r="A6" s="7"/>
      <c r="B6" s="8"/>
      <c r="C6" s="8"/>
      <c r="D6" s="8"/>
      <c r="E6" s="8"/>
      <c r="F6" s="163" t="s">
        <v>8</v>
      </c>
      <c r="G6" s="164"/>
      <c r="H6" s="164"/>
      <c r="I6" s="164"/>
      <c r="J6" s="164"/>
      <c r="K6" s="165"/>
      <c r="L6" s="98" t="s">
        <v>87</v>
      </c>
      <c r="M6" s="99"/>
      <c r="N6" s="99"/>
      <c r="O6" s="14">
        <v>0.11</v>
      </c>
      <c r="P6" s="31" t="s">
        <v>4</v>
      </c>
      <c r="Q6" s="9"/>
    </row>
    <row r="7" spans="1:17" ht="12.95" customHeight="1" x14ac:dyDescent="0.2">
      <c r="A7" s="7"/>
      <c r="B7" s="8"/>
      <c r="C7" s="8"/>
      <c r="D7" s="8"/>
      <c r="E7" s="8"/>
      <c r="F7" s="142" t="s">
        <v>9</v>
      </c>
      <c r="G7" s="143"/>
      <c r="H7" s="143"/>
      <c r="I7" s="143"/>
      <c r="J7" s="143"/>
      <c r="K7" s="144"/>
      <c r="L7" s="100" t="s">
        <v>10</v>
      </c>
      <c r="M7" s="101"/>
      <c r="N7" s="101"/>
      <c r="O7" s="16">
        <v>0.17</v>
      </c>
      <c r="P7" s="33" t="s">
        <v>4</v>
      </c>
      <c r="Q7" s="9"/>
    </row>
    <row r="8" spans="1:17" ht="12.95" customHeight="1" x14ac:dyDescent="0.2">
      <c r="A8" s="7"/>
      <c r="B8" s="8"/>
      <c r="C8" s="8"/>
      <c r="D8" s="8"/>
      <c r="E8" s="8"/>
      <c r="F8" s="163" t="s">
        <v>11</v>
      </c>
      <c r="G8" s="164"/>
      <c r="H8" s="164"/>
      <c r="I8" s="164"/>
      <c r="J8" s="164"/>
      <c r="K8" s="165"/>
      <c r="L8" s="98" t="s">
        <v>12</v>
      </c>
      <c r="M8" s="99"/>
      <c r="N8" s="99"/>
      <c r="O8" s="28">
        <v>95</v>
      </c>
      <c r="P8" s="50">
        <v>70</v>
      </c>
      <c r="Q8" s="9"/>
    </row>
    <row r="9" spans="1:17" ht="12.95" customHeight="1" x14ac:dyDescent="0.25">
      <c r="A9" s="7"/>
      <c r="B9" s="8"/>
      <c r="C9" s="8"/>
      <c r="D9" s="8"/>
      <c r="E9" s="8"/>
      <c r="F9" s="155" t="s">
        <v>13</v>
      </c>
      <c r="G9" s="156"/>
      <c r="H9" s="156"/>
      <c r="I9" s="156"/>
      <c r="J9" s="156"/>
      <c r="K9" s="157"/>
      <c r="L9" s="102" t="s">
        <v>14</v>
      </c>
      <c r="M9" s="103"/>
      <c r="N9" s="103"/>
      <c r="O9" s="25">
        <v>65</v>
      </c>
      <c r="P9" s="33" t="s">
        <v>15</v>
      </c>
      <c r="Q9" s="9"/>
    </row>
    <row r="10" spans="1:17" ht="12.95" customHeight="1" x14ac:dyDescent="0.25">
      <c r="A10" s="7"/>
      <c r="B10" s="8"/>
      <c r="C10" s="8"/>
      <c r="D10" s="8"/>
      <c r="E10" s="8"/>
      <c r="F10" s="142" t="s">
        <v>88</v>
      </c>
      <c r="G10" s="143"/>
      <c r="H10" s="143"/>
      <c r="I10" s="143"/>
      <c r="J10" s="143"/>
      <c r="K10" s="144"/>
      <c r="L10" s="100" t="s">
        <v>16</v>
      </c>
      <c r="M10" s="101"/>
      <c r="N10" s="101"/>
      <c r="O10" s="26">
        <v>5</v>
      </c>
      <c r="P10" s="32" t="s">
        <v>15</v>
      </c>
      <c r="Q10" s="9"/>
    </row>
    <row r="11" spans="1:17" ht="12.95" customHeight="1" x14ac:dyDescent="0.25">
      <c r="A11" s="7"/>
      <c r="B11" s="8"/>
      <c r="C11" s="8"/>
      <c r="D11" s="8"/>
      <c r="E11" s="8"/>
      <c r="F11" s="163" t="s">
        <v>17</v>
      </c>
      <c r="G11" s="164"/>
      <c r="H11" s="164"/>
      <c r="I11" s="164"/>
      <c r="J11" s="164"/>
      <c r="K11" s="165"/>
      <c r="L11" s="98" t="s">
        <v>18</v>
      </c>
      <c r="M11" s="99"/>
      <c r="N11" s="99"/>
      <c r="O11" s="28">
        <v>6</v>
      </c>
      <c r="P11" s="33" t="s">
        <v>19</v>
      </c>
      <c r="Q11" s="9"/>
    </row>
    <row r="12" spans="1:17" ht="12.95" customHeight="1" x14ac:dyDescent="0.25">
      <c r="A12" s="7"/>
      <c r="B12" s="8"/>
      <c r="C12" s="8"/>
      <c r="D12" s="8"/>
      <c r="E12" s="8"/>
      <c r="F12" s="155" t="s">
        <v>20</v>
      </c>
      <c r="G12" s="156"/>
      <c r="H12" s="156"/>
      <c r="I12" s="156"/>
      <c r="J12" s="156"/>
      <c r="K12" s="157"/>
      <c r="L12" s="102" t="s">
        <v>21</v>
      </c>
      <c r="M12" s="103"/>
      <c r="N12" s="103"/>
      <c r="O12" s="25">
        <v>4</v>
      </c>
      <c r="P12" s="33" t="s">
        <v>19</v>
      </c>
      <c r="Q12" s="9"/>
    </row>
    <row r="13" spans="1:17" ht="12.95" customHeight="1" x14ac:dyDescent="0.25">
      <c r="A13" s="7"/>
      <c r="B13" s="8"/>
      <c r="C13" s="8"/>
      <c r="D13" s="8"/>
      <c r="E13" s="8"/>
      <c r="F13" s="155" t="s">
        <v>89</v>
      </c>
      <c r="G13" s="156"/>
      <c r="H13" s="156"/>
      <c r="I13" s="156"/>
      <c r="J13" s="156"/>
      <c r="K13" s="157"/>
      <c r="L13" s="102" t="s">
        <v>22</v>
      </c>
      <c r="M13" s="103"/>
      <c r="N13" s="103"/>
      <c r="O13" s="25">
        <v>0.3</v>
      </c>
      <c r="P13" s="33" t="s">
        <v>19</v>
      </c>
      <c r="Q13" s="9"/>
    </row>
    <row r="14" spans="1:17" ht="12.95" customHeight="1" x14ac:dyDescent="0.25">
      <c r="A14" s="7"/>
      <c r="B14" s="8"/>
      <c r="C14" s="8"/>
      <c r="D14" s="8"/>
      <c r="E14" s="8"/>
      <c r="F14" s="155" t="s">
        <v>90</v>
      </c>
      <c r="G14" s="156"/>
      <c r="H14" s="156"/>
      <c r="I14" s="156"/>
      <c r="J14" s="156"/>
      <c r="K14" s="157"/>
      <c r="L14" s="102" t="s">
        <v>23</v>
      </c>
      <c r="M14" s="103"/>
      <c r="N14" s="103"/>
      <c r="O14" s="25">
        <v>0</v>
      </c>
      <c r="P14" s="33" t="s">
        <v>19</v>
      </c>
      <c r="Q14" s="9"/>
    </row>
    <row r="15" spans="1:17" ht="12.95" customHeight="1" x14ac:dyDescent="0.25">
      <c r="A15" s="7"/>
      <c r="B15" s="8"/>
      <c r="C15" s="8"/>
      <c r="D15" s="8"/>
      <c r="E15" s="8"/>
      <c r="F15" s="142" t="s">
        <v>24</v>
      </c>
      <c r="G15" s="143"/>
      <c r="H15" s="143"/>
      <c r="I15" s="143"/>
      <c r="J15" s="143"/>
      <c r="K15" s="144"/>
      <c r="L15" s="100" t="s">
        <v>26</v>
      </c>
      <c r="M15" s="101"/>
      <c r="N15" s="101"/>
      <c r="O15" s="17">
        <v>0.5</v>
      </c>
      <c r="P15" s="34" t="s">
        <v>19</v>
      </c>
      <c r="Q15" s="9"/>
    </row>
    <row r="16" spans="1:17" ht="12.95" customHeight="1" x14ac:dyDescent="0.25">
      <c r="A16" s="7"/>
      <c r="B16" s="8"/>
      <c r="C16" s="8"/>
      <c r="D16" s="8"/>
      <c r="E16" s="8"/>
      <c r="F16" s="163" t="s">
        <v>25</v>
      </c>
      <c r="G16" s="164"/>
      <c r="H16" s="164"/>
      <c r="I16" s="164"/>
      <c r="J16" s="164"/>
      <c r="K16" s="165"/>
      <c r="L16" s="98" t="s">
        <v>26</v>
      </c>
      <c r="M16" s="99"/>
      <c r="N16" s="93"/>
      <c r="O16" s="18">
        <f>IF(O15&gt;0,(O15/2),)</f>
        <v>0.25</v>
      </c>
      <c r="P16" s="35" t="s">
        <v>19</v>
      </c>
      <c r="Q16" s="9"/>
    </row>
    <row r="17" spans="1:19" ht="12.95" customHeight="1" x14ac:dyDescent="0.25">
      <c r="A17" s="7"/>
      <c r="B17" s="8"/>
      <c r="C17" s="8"/>
      <c r="D17" s="8"/>
      <c r="E17" s="8"/>
      <c r="F17" s="163" t="s">
        <v>91</v>
      </c>
      <c r="G17" s="164"/>
      <c r="H17" s="164"/>
      <c r="I17" s="164"/>
      <c r="J17" s="164"/>
      <c r="K17" s="165"/>
      <c r="L17" s="99" t="s">
        <v>27</v>
      </c>
      <c r="M17" s="99"/>
      <c r="N17" s="177"/>
      <c r="O17" s="25">
        <v>4</v>
      </c>
      <c r="P17" s="33" t="s">
        <v>28</v>
      </c>
      <c r="Q17" s="9"/>
    </row>
    <row r="18" spans="1:19" ht="12.95" customHeight="1" x14ac:dyDescent="0.25">
      <c r="A18" s="7"/>
      <c r="B18" s="8"/>
      <c r="C18" s="8"/>
      <c r="D18" s="8"/>
      <c r="E18" s="8"/>
      <c r="F18" s="155" t="s">
        <v>92</v>
      </c>
      <c r="G18" s="156"/>
      <c r="H18" s="156"/>
      <c r="I18" s="156"/>
      <c r="J18" s="156"/>
      <c r="K18" s="157"/>
      <c r="L18" s="103" t="s">
        <v>29</v>
      </c>
      <c r="M18" s="103"/>
      <c r="N18" s="129"/>
      <c r="O18" s="25">
        <v>3</v>
      </c>
      <c r="P18" s="33" t="s">
        <v>28</v>
      </c>
      <c r="Q18" s="9"/>
    </row>
    <row r="19" spans="1:19" ht="12.95" customHeight="1" x14ac:dyDescent="0.25">
      <c r="A19" s="7"/>
      <c r="B19" s="8"/>
      <c r="C19" s="8"/>
      <c r="D19" s="8"/>
      <c r="E19" s="8"/>
      <c r="F19" s="142" t="s">
        <v>93</v>
      </c>
      <c r="G19" s="143"/>
      <c r="H19" s="143"/>
      <c r="I19" s="143"/>
      <c r="J19" s="143"/>
      <c r="K19" s="144"/>
      <c r="L19" s="101" t="s">
        <v>29</v>
      </c>
      <c r="M19" s="101"/>
      <c r="N19" s="130"/>
      <c r="O19" s="25">
        <v>3.5</v>
      </c>
      <c r="P19" s="33" t="s">
        <v>28</v>
      </c>
      <c r="Q19" s="9"/>
    </row>
    <row r="20" spans="1:19" ht="12.95" customHeight="1" x14ac:dyDescent="0.25">
      <c r="A20" s="7"/>
      <c r="B20" s="8"/>
      <c r="C20" s="8"/>
      <c r="D20" s="8"/>
      <c r="E20" s="8"/>
      <c r="F20" s="142" t="s">
        <v>30</v>
      </c>
      <c r="G20" s="143"/>
      <c r="H20" s="143"/>
      <c r="I20" s="143"/>
      <c r="J20" s="143"/>
      <c r="K20" s="144"/>
      <c r="L20" s="100" t="s">
        <v>31</v>
      </c>
      <c r="M20" s="101"/>
      <c r="N20" s="93"/>
      <c r="O20" s="18">
        <f>ABS(O13-((O19+O18)*0.1)-0.1-0.05)/2</f>
        <v>0.25000000000000006</v>
      </c>
      <c r="P20" s="35" t="s">
        <v>19</v>
      </c>
      <c r="Q20" s="9"/>
    </row>
    <row r="21" spans="1:19" ht="12.95" customHeight="1" x14ac:dyDescent="0.25">
      <c r="A21" s="7"/>
      <c r="B21" s="8"/>
      <c r="C21" s="8"/>
      <c r="D21" s="8"/>
      <c r="E21" s="8"/>
      <c r="F21" s="145" t="s">
        <v>32</v>
      </c>
      <c r="G21" s="146"/>
      <c r="H21" s="146"/>
      <c r="I21" s="146"/>
      <c r="J21" s="146"/>
      <c r="K21" s="147"/>
      <c r="L21" s="158"/>
      <c r="M21" s="158"/>
      <c r="N21" s="158"/>
      <c r="O21" s="18">
        <v>0.5</v>
      </c>
      <c r="P21" s="35" t="s">
        <v>112</v>
      </c>
      <c r="Q21" s="9"/>
      <c r="R21" s="138" t="s">
        <v>94</v>
      </c>
      <c r="S21" s="139"/>
    </row>
    <row r="22" spans="1:19" ht="12.95" customHeight="1" thickBot="1" x14ac:dyDescent="0.3">
      <c r="A22" s="7"/>
      <c r="B22" s="8"/>
      <c r="C22" s="8"/>
      <c r="D22" s="8"/>
      <c r="E22" s="8"/>
      <c r="F22" s="148"/>
      <c r="G22" s="149"/>
      <c r="H22" s="149"/>
      <c r="I22" s="149"/>
      <c r="J22" s="149"/>
      <c r="K22" s="150"/>
      <c r="L22" s="159"/>
      <c r="M22" s="159"/>
      <c r="N22" s="159"/>
      <c r="O22" s="36"/>
      <c r="P22" s="37"/>
      <c r="Q22" s="9"/>
      <c r="R22" s="138" t="s">
        <v>94</v>
      </c>
      <c r="S22" s="139"/>
    </row>
    <row r="23" spans="1:19" ht="12.95" hidden="1" customHeight="1" x14ac:dyDescent="0.25">
      <c r="A23" s="7"/>
      <c r="B23" s="8"/>
      <c r="C23" s="8"/>
      <c r="D23" s="8"/>
      <c r="E23" s="8"/>
      <c r="F23" s="151"/>
      <c r="G23" s="152"/>
      <c r="H23" s="152"/>
      <c r="I23" s="152"/>
      <c r="J23" s="152"/>
      <c r="K23" s="152"/>
      <c r="L23" s="19"/>
      <c r="M23" s="20"/>
      <c r="N23" s="20"/>
      <c r="O23" s="21">
        <f>O8*0.01</f>
        <v>0.95000000000000007</v>
      </c>
      <c r="P23" s="45">
        <f>O9-O10</f>
        <v>60</v>
      </c>
      <c r="Q23" s="9"/>
    </row>
    <row r="24" spans="1:19" ht="12.95" hidden="1" customHeight="1" x14ac:dyDescent="0.25">
      <c r="A24" s="7"/>
      <c r="B24" s="8"/>
      <c r="C24" s="8"/>
      <c r="D24" s="8"/>
      <c r="E24" s="8"/>
      <c r="F24" s="153" t="s">
        <v>42</v>
      </c>
      <c r="G24" s="154"/>
      <c r="H24" s="154"/>
      <c r="I24" s="154"/>
      <c r="J24" s="154"/>
      <c r="K24" s="154"/>
      <c r="L24" s="19"/>
      <c r="M24" s="20"/>
      <c r="N24" s="20"/>
      <c r="O24" s="21">
        <f>(O23^5)*(-0.0005625*O11-1.3864)+(O23^4)*(0.054517*O11+7.325)+(O23^3)*(-0.27408*O11-15.474)+(O23^2)*(0.52327*O11-5.0668)+O23*(-0.42067*O11-38.224)+0.16333*O11+1011.185</f>
        <v>962.1954277622234</v>
      </c>
      <c r="P24" s="45"/>
      <c r="Q24" s="9"/>
    </row>
    <row r="25" spans="1:19" ht="12.95" hidden="1" customHeight="1" x14ac:dyDescent="0.25">
      <c r="A25" s="7"/>
      <c r="B25" s="8"/>
      <c r="C25" s="8"/>
      <c r="D25" s="8"/>
      <c r="E25" s="8"/>
      <c r="F25" s="151"/>
      <c r="G25" s="152"/>
      <c r="H25" s="152"/>
      <c r="I25" s="152"/>
      <c r="J25" s="152"/>
      <c r="K25" s="152"/>
      <c r="L25" s="19"/>
      <c r="M25" s="20"/>
      <c r="N25" s="20"/>
      <c r="O25" s="22">
        <f>P8*0.01</f>
        <v>0.70000000000000007</v>
      </c>
      <c r="P25" s="45"/>
      <c r="Q25" s="9"/>
    </row>
    <row r="26" spans="1:19" ht="12.95" hidden="1" customHeight="1" x14ac:dyDescent="0.25">
      <c r="A26" s="7"/>
      <c r="B26" s="8"/>
      <c r="C26" s="8"/>
      <c r="D26" s="8"/>
      <c r="E26" s="8"/>
      <c r="F26" s="153" t="s">
        <v>43</v>
      </c>
      <c r="G26" s="154"/>
      <c r="H26" s="154"/>
      <c r="I26" s="154"/>
      <c r="J26" s="154"/>
      <c r="K26" s="154"/>
      <c r="L26" s="19"/>
      <c r="M26" s="20"/>
      <c r="N26" s="20"/>
      <c r="O26" s="21">
        <f>(O25^5)*(-0.0005625*O12-1.3864)+(O25^4)*(0.054517*O12+7.325)+(O25^3)*(-0.27408*O12-15.474)+(O25^2)*(0.52327*O12-5.0668)+O25*(-0.42067*O12-38.224)+0.16333*O12+1011.185</f>
        <v>978.34060166129996</v>
      </c>
      <c r="P26" s="45"/>
      <c r="Q26" s="9"/>
    </row>
    <row r="27" spans="1:19" ht="12.95" hidden="1" customHeight="1" x14ac:dyDescent="0.25">
      <c r="A27" s="7"/>
      <c r="B27" s="8"/>
      <c r="C27" s="8"/>
      <c r="D27" s="8"/>
      <c r="E27" s="8"/>
      <c r="F27" s="151"/>
      <c r="G27" s="152"/>
      <c r="H27" s="152"/>
      <c r="I27" s="152"/>
      <c r="J27" s="152"/>
      <c r="K27" s="152"/>
      <c r="L27" s="19"/>
      <c r="M27" s="20"/>
      <c r="N27" s="20"/>
      <c r="O27" s="21">
        <f>(O9-O10)*0.01</f>
        <v>0.6</v>
      </c>
      <c r="P27" s="45"/>
      <c r="Q27" s="9"/>
    </row>
    <row r="28" spans="1:19" ht="12.95" hidden="1" customHeight="1" x14ac:dyDescent="0.25">
      <c r="A28" s="7"/>
      <c r="B28" s="8"/>
      <c r="C28" s="8"/>
      <c r="D28" s="8"/>
      <c r="E28" s="8"/>
      <c r="F28" s="153" t="s">
        <v>44</v>
      </c>
      <c r="G28" s="154"/>
      <c r="H28" s="154"/>
      <c r="I28" s="154"/>
      <c r="J28" s="154"/>
      <c r="K28" s="154"/>
      <c r="L28" s="19"/>
      <c r="M28" s="20"/>
      <c r="N28" s="20"/>
      <c r="O28" s="21">
        <f>(O27^5)*(-0.0005625*O13-1.3864)+(O27^4)*(0.054517*O13+7.325)+(O27^3)*(-0.27408*O13-15.474)+(O27^2)*(0.52327*O13-5.0668)+O27*(-0.42067*O13-38.224)+0.16333*O13+1011.185</f>
        <v>983.93981921095997</v>
      </c>
      <c r="P28" s="45"/>
      <c r="Q28" s="9"/>
    </row>
    <row r="29" spans="1:19" ht="12.95" hidden="1" customHeight="1" x14ac:dyDescent="0.25">
      <c r="A29" s="7"/>
      <c r="B29" s="8"/>
      <c r="C29" s="8"/>
      <c r="D29" s="8"/>
      <c r="E29" s="8"/>
      <c r="F29" s="151"/>
      <c r="G29" s="152"/>
      <c r="H29" s="152"/>
      <c r="I29" s="152"/>
      <c r="J29" s="152"/>
      <c r="K29" s="152"/>
      <c r="L29" s="19"/>
      <c r="M29" s="20"/>
      <c r="N29" s="20"/>
      <c r="O29" s="21">
        <f>(O9-O10-10)*0.01</f>
        <v>0.5</v>
      </c>
      <c r="P29" s="45"/>
      <c r="Q29" s="9"/>
    </row>
    <row r="30" spans="1:19" ht="12.95" hidden="1" customHeight="1" x14ac:dyDescent="0.25">
      <c r="A30" s="7"/>
      <c r="B30" s="8"/>
      <c r="C30" s="8"/>
      <c r="D30" s="8"/>
      <c r="E30" s="8"/>
      <c r="F30" s="153" t="s">
        <v>45</v>
      </c>
      <c r="G30" s="154"/>
      <c r="H30" s="154"/>
      <c r="I30" s="154"/>
      <c r="J30" s="154"/>
      <c r="K30" s="154"/>
      <c r="L30" s="19"/>
      <c r="M30" s="20"/>
      <c r="N30" s="20"/>
      <c r="O30" s="21">
        <f>(O29^5)*(-0.0005625*O14-1.3864)+(O29^4)*(0.054517*O14+7.325)+(O29^3)*(-0.27408*O14-15.474)+(O29^2)*(0.52327*O14-5.0668)+O29*(-0.42067*O14-38.224)+0.16333*O14+1011.185</f>
        <v>989.28653749999989</v>
      </c>
      <c r="P30" s="45"/>
      <c r="Q30" s="9"/>
    </row>
    <row r="31" spans="1:19" ht="12.95" customHeight="1" thickBot="1" x14ac:dyDescent="0.3">
      <c r="A31" s="7"/>
      <c r="B31" s="8"/>
      <c r="C31" s="8"/>
      <c r="D31" s="8"/>
      <c r="E31" s="8"/>
      <c r="F31" s="95" t="s">
        <v>33</v>
      </c>
      <c r="G31" s="96"/>
      <c r="H31" s="96"/>
      <c r="I31" s="96"/>
      <c r="J31" s="96"/>
      <c r="K31" s="96"/>
      <c r="L31" s="96"/>
      <c r="M31" s="96"/>
      <c r="N31" s="96"/>
      <c r="O31" s="96"/>
      <c r="P31" s="97"/>
      <c r="Q31" s="9"/>
    </row>
    <row r="32" spans="1:19" ht="12.95" customHeight="1" x14ac:dyDescent="0.25">
      <c r="A32" s="7"/>
      <c r="B32" s="8"/>
      <c r="C32" s="8"/>
      <c r="D32" s="8"/>
      <c r="E32" s="8"/>
      <c r="F32" s="202" t="s">
        <v>2</v>
      </c>
      <c r="G32" s="203"/>
      <c r="H32" s="203"/>
      <c r="I32" s="203"/>
      <c r="J32" s="203"/>
      <c r="K32" s="204"/>
      <c r="L32" s="140" t="s">
        <v>34</v>
      </c>
      <c r="M32" s="141"/>
      <c r="N32" s="141"/>
      <c r="O32" s="51">
        <f>ABS(O3*1000/(O8-P8))</f>
        <v>10.8</v>
      </c>
      <c r="P32" s="38" t="s">
        <v>35</v>
      </c>
      <c r="Q32" s="9"/>
    </row>
    <row r="33" spans="1:18" ht="12.95" customHeight="1" x14ac:dyDescent="0.25">
      <c r="A33" s="7"/>
      <c r="B33" s="8"/>
      <c r="C33" s="8"/>
      <c r="D33" s="8"/>
      <c r="E33" s="8"/>
      <c r="F33" s="174" t="s">
        <v>5</v>
      </c>
      <c r="G33" s="175"/>
      <c r="H33" s="175"/>
      <c r="I33" s="175"/>
      <c r="J33" s="175"/>
      <c r="K33" s="176"/>
      <c r="L33" s="98" t="s">
        <v>36</v>
      </c>
      <c r="M33" s="99"/>
      <c r="N33" s="99"/>
      <c r="O33" s="52">
        <f>ABS(O4*1000/(-0.68*((O8-P8)/10)^2+16.1*(O8-P8)/10-32.56))</f>
        <v>0</v>
      </c>
      <c r="P33" s="39" t="s">
        <v>35</v>
      </c>
      <c r="Q33" s="9"/>
    </row>
    <row r="34" spans="1:18" ht="12.95" customHeight="1" x14ac:dyDescent="0.25">
      <c r="A34" s="7"/>
      <c r="B34" s="8"/>
      <c r="C34" s="8"/>
      <c r="D34" s="8"/>
      <c r="E34" s="8"/>
      <c r="F34" s="205" t="s">
        <v>7</v>
      </c>
      <c r="G34" s="206"/>
      <c r="H34" s="206"/>
      <c r="I34" s="206"/>
      <c r="J34" s="206"/>
      <c r="K34" s="207"/>
      <c r="L34" s="100" t="s">
        <v>36</v>
      </c>
      <c r="M34" s="101"/>
      <c r="N34" s="101"/>
      <c r="O34" s="53">
        <f>ABS(O5*1000/(O8-P8))</f>
        <v>0</v>
      </c>
      <c r="P34" s="40" t="s">
        <v>35</v>
      </c>
      <c r="Q34" s="9"/>
    </row>
    <row r="35" spans="1:18" ht="12.95" customHeight="1" x14ac:dyDescent="0.25">
      <c r="A35" s="7"/>
      <c r="B35" s="8"/>
      <c r="C35" s="8"/>
      <c r="D35" s="8"/>
      <c r="E35" s="8"/>
      <c r="F35" s="174" t="s">
        <v>37</v>
      </c>
      <c r="G35" s="175"/>
      <c r="H35" s="175"/>
      <c r="I35" s="175"/>
      <c r="J35" s="175"/>
      <c r="K35" s="176"/>
      <c r="L35" s="102" t="s">
        <v>38</v>
      </c>
      <c r="M35" s="103"/>
      <c r="N35" s="103"/>
      <c r="O35" s="54">
        <f>ABS(O6*1000/(O9-O10))</f>
        <v>1.8333333333333333</v>
      </c>
      <c r="P35" s="41" t="s">
        <v>35</v>
      </c>
      <c r="Q35" s="9"/>
    </row>
    <row r="36" spans="1:18" ht="12.95" customHeight="1" x14ac:dyDescent="0.25">
      <c r="A36" s="7"/>
      <c r="B36" s="8"/>
      <c r="C36" s="8"/>
      <c r="D36" s="8"/>
      <c r="E36" s="8"/>
      <c r="F36" s="106" t="s">
        <v>9</v>
      </c>
      <c r="G36" s="107"/>
      <c r="H36" s="107"/>
      <c r="I36" s="107"/>
      <c r="J36" s="107"/>
      <c r="K36" s="108"/>
      <c r="L36" s="102" t="s">
        <v>39</v>
      </c>
      <c r="M36" s="103"/>
      <c r="N36" s="103"/>
      <c r="O36" s="54">
        <f>ABS(O7*1000/(O9-O10))</f>
        <v>2.8333333333333335</v>
      </c>
      <c r="P36" s="41" t="s">
        <v>35</v>
      </c>
      <c r="Q36" s="9"/>
    </row>
    <row r="37" spans="1:18" ht="12.95" customHeight="1" thickBot="1" x14ac:dyDescent="0.3">
      <c r="A37" s="7"/>
      <c r="B37" s="8"/>
      <c r="C37" s="8"/>
      <c r="D37" s="8"/>
      <c r="E37" s="8"/>
      <c r="F37" s="109" t="s">
        <v>40</v>
      </c>
      <c r="G37" s="110"/>
      <c r="H37" s="110"/>
      <c r="I37" s="110"/>
      <c r="J37" s="110"/>
      <c r="K37" s="111"/>
      <c r="L37" s="104" t="s">
        <v>41</v>
      </c>
      <c r="M37" s="105"/>
      <c r="N37" s="105"/>
      <c r="O37" s="55">
        <v>0</v>
      </c>
      <c r="P37" s="42" t="s">
        <v>35</v>
      </c>
      <c r="Q37" s="9"/>
    </row>
    <row r="38" spans="1:18" ht="12.95" customHeight="1" thickBot="1" x14ac:dyDescent="0.3">
      <c r="A38" s="7"/>
      <c r="B38" s="8"/>
      <c r="C38" s="8"/>
      <c r="D38" s="8"/>
      <c r="E38" s="8"/>
      <c r="F38" s="95" t="s">
        <v>46</v>
      </c>
      <c r="G38" s="96"/>
      <c r="H38" s="96"/>
      <c r="I38" s="96"/>
      <c r="J38" s="96"/>
      <c r="K38" s="96"/>
      <c r="L38" s="96"/>
      <c r="M38" s="96"/>
      <c r="N38" s="96"/>
      <c r="O38" s="96"/>
      <c r="P38" s="97"/>
      <c r="Q38" s="9"/>
    </row>
    <row r="39" spans="1:18" ht="12.95" customHeight="1" x14ac:dyDescent="0.25">
      <c r="A39" s="7"/>
      <c r="B39" s="8"/>
      <c r="C39" s="8"/>
      <c r="D39" s="8"/>
      <c r="E39" s="8"/>
      <c r="F39" s="178" t="s">
        <v>2</v>
      </c>
      <c r="G39" s="179"/>
      <c r="H39" s="179"/>
      <c r="I39" s="179"/>
      <c r="J39" s="179"/>
      <c r="K39" s="102" t="s">
        <v>115</v>
      </c>
      <c r="L39" s="103"/>
      <c r="M39" s="49">
        <f>O21</f>
        <v>0.5</v>
      </c>
      <c r="N39" s="66" t="s">
        <v>114</v>
      </c>
      <c r="O39" s="56">
        <f>ABS(O21*O32)</f>
        <v>5.4</v>
      </c>
      <c r="P39" s="41" t="s">
        <v>35</v>
      </c>
      <c r="Q39" s="9"/>
      <c r="R39" s="6" t="s">
        <v>117</v>
      </c>
    </row>
    <row r="40" spans="1:18" ht="12.95" customHeight="1" x14ac:dyDescent="0.25">
      <c r="A40" s="7"/>
      <c r="B40" s="8"/>
      <c r="C40" s="8"/>
      <c r="D40" s="8"/>
      <c r="E40" s="8"/>
      <c r="F40" s="180"/>
      <c r="G40" s="139"/>
      <c r="H40" s="139"/>
      <c r="I40" s="139"/>
      <c r="J40" s="139"/>
      <c r="K40" s="100" t="s">
        <v>95</v>
      </c>
      <c r="L40" s="101"/>
      <c r="M40" s="101"/>
      <c r="N40" s="130"/>
      <c r="O40" s="57">
        <f>ABS(1.25*O32)</f>
        <v>13.5</v>
      </c>
      <c r="P40" s="40" t="s">
        <v>35</v>
      </c>
      <c r="Q40" s="9"/>
    </row>
    <row r="41" spans="1:18" ht="12.95" customHeight="1" x14ac:dyDescent="0.25">
      <c r="A41" s="7"/>
      <c r="B41" s="8"/>
      <c r="C41" s="8"/>
      <c r="D41" s="8"/>
      <c r="E41" s="8"/>
      <c r="F41" s="86" t="s">
        <v>47</v>
      </c>
      <c r="G41" s="87"/>
      <c r="H41" s="87"/>
      <c r="I41" s="87"/>
      <c r="J41" s="88"/>
      <c r="K41" s="102" t="s">
        <v>96</v>
      </c>
      <c r="L41" s="103"/>
      <c r="M41" s="103"/>
      <c r="N41" s="129"/>
      <c r="O41" s="52">
        <f>IF(O33=0,ABS(0*O34),ABS(0*O33))</f>
        <v>0</v>
      </c>
      <c r="P41" s="39" t="s">
        <v>35</v>
      </c>
      <c r="Q41" s="9"/>
    </row>
    <row r="42" spans="1:18" ht="12.95" customHeight="1" x14ac:dyDescent="0.25">
      <c r="A42" s="7"/>
      <c r="B42" s="8"/>
      <c r="C42" s="8"/>
      <c r="D42" s="8"/>
      <c r="E42" s="8"/>
      <c r="F42" s="178"/>
      <c r="G42" s="179"/>
      <c r="H42" s="179"/>
      <c r="I42" s="179"/>
      <c r="J42" s="181"/>
      <c r="K42" s="102" t="s">
        <v>97</v>
      </c>
      <c r="L42" s="103"/>
      <c r="M42" s="103"/>
      <c r="N42" s="129"/>
      <c r="O42" s="54">
        <f>ABS(1.25*O33)</f>
        <v>0</v>
      </c>
      <c r="P42" s="41" t="s">
        <v>35</v>
      </c>
      <c r="Q42" s="9"/>
    </row>
    <row r="43" spans="1:18" ht="12.95" customHeight="1" x14ac:dyDescent="0.25">
      <c r="A43" s="7"/>
      <c r="B43" s="8"/>
      <c r="C43" s="8"/>
      <c r="D43" s="8"/>
      <c r="E43" s="8"/>
      <c r="F43" s="178"/>
      <c r="G43" s="179"/>
      <c r="H43" s="179"/>
      <c r="I43" s="179"/>
      <c r="J43" s="181"/>
      <c r="K43" s="102" t="s">
        <v>98</v>
      </c>
      <c r="L43" s="103"/>
      <c r="M43" s="103"/>
      <c r="N43" s="129"/>
      <c r="O43" s="54">
        <f>ABS(1.25*O34)</f>
        <v>0</v>
      </c>
      <c r="P43" s="41" t="s">
        <v>35</v>
      </c>
      <c r="Q43" s="9"/>
    </row>
    <row r="44" spans="1:18" ht="12.95" customHeight="1" x14ac:dyDescent="0.25">
      <c r="A44" s="7"/>
      <c r="B44" s="8"/>
      <c r="C44" s="8"/>
      <c r="D44" s="8"/>
      <c r="E44" s="8"/>
      <c r="F44" s="180"/>
      <c r="G44" s="139"/>
      <c r="H44" s="139"/>
      <c r="I44" s="139"/>
      <c r="J44" s="182"/>
      <c r="K44" s="100" t="s">
        <v>48</v>
      </c>
      <c r="L44" s="101"/>
      <c r="M44" s="101"/>
      <c r="N44" s="130"/>
      <c r="O44" s="53">
        <f>O43+O42</f>
        <v>0</v>
      </c>
      <c r="P44" s="40" t="s">
        <v>35</v>
      </c>
      <c r="Q44" s="9"/>
    </row>
    <row r="45" spans="1:18" ht="12.95" customHeight="1" x14ac:dyDescent="0.25">
      <c r="A45" s="7"/>
      <c r="B45" s="8"/>
      <c r="C45" s="8"/>
      <c r="D45" s="8"/>
      <c r="E45" s="8"/>
      <c r="F45" s="86" t="s">
        <v>49</v>
      </c>
      <c r="G45" s="87"/>
      <c r="H45" s="87"/>
      <c r="I45" s="87"/>
      <c r="J45" s="88"/>
      <c r="K45" s="125" t="s">
        <v>116</v>
      </c>
      <c r="L45" s="126"/>
      <c r="M45" s="126"/>
      <c r="N45" s="127"/>
      <c r="O45" s="52">
        <f>ABS(0.04*O36)</f>
        <v>0.11333333333333334</v>
      </c>
      <c r="P45" s="39" t="s">
        <v>35</v>
      </c>
      <c r="Q45" s="9"/>
      <c r="R45" s="6" t="s">
        <v>113</v>
      </c>
    </row>
    <row r="46" spans="1:18" ht="12.95" customHeight="1" thickBot="1" x14ac:dyDescent="0.3">
      <c r="A46" s="7"/>
      <c r="B46" s="8"/>
      <c r="C46" s="8"/>
      <c r="D46" s="8"/>
      <c r="E46" s="8"/>
      <c r="F46" s="89"/>
      <c r="G46" s="90"/>
      <c r="H46" s="90"/>
      <c r="I46" s="90"/>
      <c r="J46" s="91"/>
      <c r="K46" s="104" t="s">
        <v>50</v>
      </c>
      <c r="L46" s="105"/>
      <c r="M46" s="105"/>
      <c r="N46" s="112"/>
      <c r="O46" s="55">
        <f>ABS(O36)</f>
        <v>2.8333333333333335</v>
      </c>
      <c r="P46" s="42" t="s">
        <v>35</v>
      </c>
      <c r="Q46" s="9"/>
    </row>
    <row r="47" spans="1:18" ht="12.95" customHeight="1" x14ac:dyDescent="0.25">
      <c r="A47" s="135" t="s">
        <v>81</v>
      </c>
      <c r="B47" s="133"/>
      <c r="C47" s="133"/>
      <c r="D47" s="133"/>
      <c r="E47" s="219"/>
      <c r="F47" s="116" t="s">
        <v>121</v>
      </c>
      <c r="G47" s="117"/>
      <c r="H47" s="117"/>
      <c r="I47" s="117"/>
      <c r="J47" s="117"/>
      <c r="K47" s="117"/>
      <c r="L47" s="117"/>
      <c r="M47" s="117"/>
      <c r="N47" s="117"/>
      <c r="O47" s="117"/>
      <c r="P47" s="118"/>
      <c r="Q47" s="9"/>
    </row>
    <row r="48" spans="1:18" ht="12.95" customHeight="1" x14ac:dyDescent="0.25">
      <c r="A48" s="135"/>
      <c r="B48" s="133"/>
      <c r="C48" s="133"/>
      <c r="D48" s="133"/>
      <c r="E48" s="219"/>
      <c r="F48" s="119" t="s">
        <v>99</v>
      </c>
      <c r="G48" s="120"/>
      <c r="H48" s="120"/>
      <c r="I48" s="120"/>
      <c r="J48" s="120"/>
      <c r="K48" s="120"/>
      <c r="L48" s="120"/>
      <c r="M48" s="120"/>
      <c r="N48" s="120"/>
      <c r="O48" s="120"/>
      <c r="P48" s="121"/>
      <c r="Q48" s="9"/>
    </row>
    <row r="49" spans="1:17" ht="12.95" customHeight="1" x14ac:dyDescent="0.25">
      <c r="A49" s="135"/>
      <c r="B49" s="133"/>
      <c r="C49" s="133"/>
      <c r="D49" s="133"/>
      <c r="E49" s="219"/>
      <c r="F49" s="119" t="str">
        <f>IF(O8&gt;95,"- непосредственная с элеватором-смесителем"," - без элеватора-смесителя")</f>
        <v xml:space="preserve"> - без элеватора-смесителя</v>
      </c>
      <c r="G49" s="120"/>
      <c r="H49" s="120"/>
      <c r="I49" s="120"/>
      <c r="J49" s="120"/>
      <c r="K49" s="120"/>
      <c r="L49" s="120"/>
      <c r="M49" s="120"/>
      <c r="N49" s="120"/>
      <c r="O49" s="120"/>
      <c r="P49" s="121"/>
      <c r="Q49" s="9"/>
    </row>
    <row r="50" spans="1:17" ht="12.95" customHeight="1" thickBot="1" x14ac:dyDescent="0.3">
      <c r="A50" s="135"/>
      <c r="B50" s="133"/>
      <c r="C50" s="133"/>
      <c r="D50" s="133"/>
      <c r="E50" s="219"/>
      <c r="F50" s="122" t="s">
        <v>122</v>
      </c>
      <c r="G50" s="123"/>
      <c r="H50" s="123"/>
      <c r="I50" s="123"/>
      <c r="J50" s="123"/>
      <c r="K50" s="123"/>
      <c r="L50" s="123"/>
      <c r="M50" s="123"/>
      <c r="N50" s="123"/>
      <c r="O50" s="123"/>
      <c r="P50" s="124"/>
      <c r="Q50" s="9"/>
    </row>
    <row r="51" spans="1:17" ht="12.95" customHeight="1" x14ac:dyDescent="0.25">
      <c r="A51" s="135"/>
      <c r="B51" s="133"/>
      <c r="C51" s="133"/>
      <c r="D51" s="133"/>
      <c r="E51" s="219"/>
      <c r="F51" s="113" t="s">
        <v>51</v>
      </c>
      <c r="G51" s="114"/>
      <c r="H51" s="114"/>
      <c r="I51" s="114"/>
      <c r="J51" s="115"/>
      <c r="K51" s="128" t="s">
        <v>0</v>
      </c>
      <c r="L51" s="114"/>
      <c r="M51" s="114"/>
      <c r="N51" s="115"/>
      <c r="O51" s="43" t="s">
        <v>35</v>
      </c>
      <c r="P51" s="44" t="s">
        <v>52</v>
      </c>
      <c r="Q51" s="9"/>
    </row>
    <row r="52" spans="1:17" ht="12.95" customHeight="1" x14ac:dyDescent="0.25">
      <c r="A52" s="135"/>
      <c r="B52" s="213"/>
      <c r="C52" s="213"/>
      <c r="D52" s="213"/>
      <c r="E52" s="216"/>
      <c r="F52" s="168" t="s">
        <v>100</v>
      </c>
      <c r="G52" s="169"/>
      <c r="H52" s="169"/>
      <c r="I52" s="169"/>
      <c r="J52" s="170"/>
      <c r="K52" s="92" t="s">
        <v>101</v>
      </c>
      <c r="L52" s="93"/>
      <c r="M52" s="93"/>
      <c r="N52" s="94"/>
      <c r="O52" s="58">
        <f>ABS(O39+O41)</f>
        <v>5.4</v>
      </c>
      <c r="P52" s="59">
        <f>O52*1000/O24</f>
        <v>5.612165516685911</v>
      </c>
      <c r="Q52" s="9"/>
    </row>
    <row r="53" spans="1:17" ht="12.95" customHeight="1" x14ac:dyDescent="0.25">
      <c r="A53" s="135"/>
      <c r="B53" s="214"/>
      <c r="C53" s="214"/>
      <c r="D53" s="214"/>
      <c r="E53" s="217"/>
      <c r="F53" s="171"/>
      <c r="G53" s="172"/>
      <c r="H53" s="172"/>
      <c r="I53" s="172"/>
      <c r="J53" s="173"/>
      <c r="K53" s="92" t="s">
        <v>102</v>
      </c>
      <c r="L53" s="93"/>
      <c r="M53" s="93"/>
      <c r="N53" s="94"/>
      <c r="O53" s="58">
        <f>ABS(O40+O44)</f>
        <v>13.5</v>
      </c>
      <c r="P53" s="59">
        <f>O53*1000/O24</f>
        <v>14.030413791714778</v>
      </c>
      <c r="Q53" s="9"/>
    </row>
    <row r="54" spans="1:17" ht="12.95" customHeight="1" x14ac:dyDescent="0.25">
      <c r="A54" s="135"/>
      <c r="B54" s="214"/>
      <c r="C54" s="214"/>
      <c r="D54" s="214"/>
      <c r="E54" s="217"/>
      <c r="F54" s="168" t="s">
        <v>103</v>
      </c>
      <c r="G54" s="169"/>
      <c r="H54" s="169"/>
      <c r="I54" s="169"/>
      <c r="J54" s="170"/>
      <c r="K54" s="92" t="s">
        <v>104</v>
      </c>
      <c r="L54" s="93"/>
      <c r="M54" s="93"/>
      <c r="N54" s="94"/>
      <c r="O54" s="58">
        <f>ABS(O39+O41)</f>
        <v>5.4</v>
      </c>
      <c r="P54" s="59">
        <f>O54*1000/O26</f>
        <v>5.5195501350249305</v>
      </c>
      <c r="Q54" s="9"/>
    </row>
    <row r="55" spans="1:17" ht="12.95" customHeight="1" x14ac:dyDescent="0.25">
      <c r="A55" s="135"/>
      <c r="B55" s="214"/>
      <c r="C55" s="214"/>
      <c r="D55" s="214"/>
      <c r="E55" s="217"/>
      <c r="F55" s="171"/>
      <c r="G55" s="172"/>
      <c r="H55" s="172"/>
      <c r="I55" s="172"/>
      <c r="J55" s="173"/>
      <c r="K55" s="92" t="s">
        <v>105</v>
      </c>
      <c r="L55" s="93"/>
      <c r="M55" s="93"/>
      <c r="N55" s="94"/>
      <c r="O55" s="58">
        <f>ABS(O40+O44)</f>
        <v>13.5</v>
      </c>
      <c r="P55" s="59">
        <f>O55*1000/O26</f>
        <v>13.798875337562327</v>
      </c>
      <c r="Q55" s="9"/>
    </row>
    <row r="56" spans="1:17" ht="12.95" hidden="1" customHeight="1" x14ac:dyDescent="0.25">
      <c r="A56" s="135"/>
      <c r="B56" s="214"/>
      <c r="C56" s="214"/>
      <c r="D56" s="214"/>
      <c r="E56" s="217"/>
      <c r="F56" s="168"/>
      <c r="G56" s="169"/>
      <c r="H56" s="169"/>
      <c r="I56" s="169"/>
      <c r="J56" s="170"/>
      <c r="K56" s="92"/>
      <c r="L56" s="93"/>
      <c r="M56" s="93"/>
      <c r="N56" s="94"/>
      <c r="O56" s="58"/>
      <c r="P56" s="59"/>
      <c r="Q56" s="9"/>
    </row>
    <row r="57" spans="1:17" ht="12.95" hidden="1" customHeight="1" x14ac:dyDescent="0.25">
      <c r="A57" s="135"/>
      <c r="B57" s="214"/>
      <c r="C57" s="214"/>
      <c r="D57" s="214"/>
      <c r="E57" s="217"/>
      <c r="F57" s="196"/>
      <c r="G57" s="197"/>
      <c r="H57" s="197"/>
      <c r="I57" s="197"/>
      <c r="J57" s="198"/>
      <c r="K57" s="92" t="s">
        <v>106</v>
      </c>
      <c r="L57" s="93"/>
      <c r="M57" s="93"/>
      <c r="N57" s="94"/>
      <c r="O57" s="58" t="e">
        <f>ABS(O46*(1+O58))</f>
        <v>#DIV/0!</v>
      </c>
      <c r="P57" s="59" t="e">
        <f>O57*1000/O28</f>
        <v>#DIV/0!</v>
      </c>
      <c r="Q57" s="9"/>
    </row>
    <row r="58" spans="1:17" ht="12.95" hidden="1" customHeight="1" x14ac:dyDescent="0.25">
      <c r="A58" s="135"/>
      <c r="B58" s="214"/>
      <c r="C58" s="214"/>
      <c r="D58" s="214"/>
      <c r="E58" s="217"/>
      <c r="F58" s="196"/>
      <c r="G58" s="197"/>
      <c r="H58" s="197"/>
      <c r="I58" s="197"/>
      <c r="J58" s="198"/>
      <c r="K58" s="92" t="s">
        <v>107</v>
      </c>
      <c r="L58" s="93"/>
      <c r="M58" s="93"/>
      <c r="N58" s="94"/>
      <c r="O58" s="58" t="e">
        <f>IF(AND(O59&lt;=1.25),0.57, "0")+IF(AND(1.25&lt;O59,O59&lt;=1.35),0.48, "0")+IF(AND(1.35&lt;O59,O59&lt;=1.45),0.43, "0")+IF(AND(1.45&lt;O59,O59&lt;=1.55),0.4, "0")+IF(AND(1.55&lt;O59,O59&lt;=1.65),0.38, "0")+IF(AND(1.65&lt;O59,O59&lt;=1.75),0.36, "0")+IF(AND(1.75&lt;O59,O59&lt;=1.85),0.33, "0")+IF(AND(1.85&lt;O59,O59&lt;=1.95),0.25, "0")+IF(AND(1.95&lt;O59,O59&lt;=2.1),0.12, "0")+IF(AND(2.1&lt;O59),0, "0")</f>
        <v>#DIV/0!</v>
      </c>
      <c r="P58" s="59" t="e">
        <f>O58*1000/O30</f>
        <v>#DIV/0!</v>
      </c>
      <c r="Q58" s="9"/>
    </row>
    <row r="59" spans="1:17" ht="12.95" hidden="1" customHeight="1" x14ac:dyDescent="0.25">
      <c r="A59" s="135"/>
      <c r="B59" s="214"/>
      <c r="C59" s="214"/>
      <c r="D59" s="214"/>
      <c r="E59" s="217"/>
      <c r="F59" s="171"/>
      <c r="G59" s="172"/>
      <c r="H59" s="172"/>
      <c r="I59" s="172"/>
      <c r="J59" s="173"/>
      <c r="K59" s="92" t="s">
        <v>53</v>
      </c>
      <c r="L59" s="93"/>
      <c r="M59" s="93"/>
      <c r="N59" s="94"/>
      <c r="O59" s="58" t="e">
        <f>ABS(O46/O61)</f>
        <v>#DIV/0!</v>
      </c>
      <c r="P59" s="59" t="e">
        <f>O59*1000/O30</f>
        <v>#DIV/0!</v>
      </c>
      <c r="Q59" s="9"/>
    </row>
    <row r="60" spans="1:17" ht="12.95" hidden="1" customHeight="1" x14ac:dyDescent="0.25">
      <c r="A60" s="135"/>
      <c r="B60" s="214"/>
      <c r="C60" s="214"/>
      <c r="D60" s="214"/>
      <c r="E60" s="217"/>
      <c r="F60" s="168" t="s">
        <v>108</v>
      </c>
      <c r="G60" s="169"/>
      <c r="H60" s="169"/>
      <c r="I60" s="169"/>
      <c r="J60" s="170"/>
      <c r="K60" s="92" t="s">
        <v>109</v>
      </c>
      <c r="L60" s="93"/>
      <c r="M60" s="93"/>
      <c r="N60" s="94"/>
      <c r="O60" s="58">
        <f>ABS(0.05*O37)</f>
        <v>0</v>
      </c>
      <c r="P60" s="59">
        <f>O60*1000/O30</f>
        <v>0</v>
      </c>
      <c r="Q60" s="9"/>
    </row>
    <row r="61" spans="1:17" ht="12.95" hidden="1" customHeight="1" x14ac:dyDescent="0.25">
      <c r="A61" s="135"/>
      <c r="B61" s="214"/>
      <c r="C61" s="214"/>
      <c r="D61" s="214"/>
      <c r="E61" s="217"/>
      <c r="F61" s="171"/>
      <c r="G61" s="172"/>
      <c r="H61" s="172"/>
      <c r="I61" s="172"/>
      <c r="J61" s="173"/>
      <c r="K61" s="92" t="s">
        <v>110</v>
      </c>
      <c r="L61" s="93"/>
      <c r="M61" s="93"/>
      <c r="N61" s="94"/>
      <c r="O61" s="58">
        <f>ABS(O37)</f>
        <v>0</v>
      </c>
      <c r="P61" s="59">
        <f>O61*1000/O30</f>
        <v>0</v>
      </c>
      <c r="Q61" s="9"/>
    </row>
    <row r="62" spans="1:17" ht="12.95" customHeight="1" x14ac:dyDescent="0.25">
      <c r="A62" s="135"/>
      <c r="B62" s="215"/>
      <c r="C62" s="215"/>
      <c r="D62" s="215"/>
      <c r="E62" s="218"/>
      <c r="F62" s="168" t="s">
        <v>119</v>
      </c>
      <c r="G62" s="169"/>
      <c r="H62" s="169"/>
      <c r="I62" s="169"/>
      <c r="J62" s="170"/>
      <c r="K62" s="92" t="s">
        <v>116</v>
      </c>
      <c r="L62" s="93"/>
      <c r="M62" s="93"/>
      <c r="N62" s="94"/>
      <c r="O62" s="58">
        <f>ABS(O36*0.04)</f>
        <v>0.11333333333333334</v>
      </c>
      <c r="P62" s="59">
        <f>O62*1000/O28</f>
        <v>0.11518319628960387</v>
      </c>
      <c r="Q62" s="9"/>
    </row>
    <row r="63" spans="1:17" ht="12.95" customHeight="1" thickBot="1" x14ac:dyDescent="0.3">
      <c r="A63" s="135"/>
      <c r="B63" s="133"/>
      <c r="C63" s="133"/>
      <c r="D63" s="133"/>
      <c r="E63" s="219"/>
      <c r="F63" s="199"/>
      <c r="G63" s="200"/>
      <c r="H63" s="200"/>
      <c r="I63" s="200"/>
      <c r="J63" s="201"/>
      <c r="K63" s="208" t="s">
        <v>111</v>
      </c>
      <c r="L63" s="209"/>
      <c r="M63" s="209"/>
      <c r="N63" s="210"/>
      <c r="O63" s="60">
        <f>ABS(O36)</f>
        <v>2.8333333333333335</v>
      </c>
      <c r="P63" s="61">
        <f>O63*1000/O28</f>
        <v>2.8795799072400965</v>
      </c>
      <c r="Q63" s="9"/>
    </row>
    <row r="64" spans="1:17" ht="12.95" customHeight="1" thickBot="1" x14ac:dyDescent="0.3">
      <c r="A64" s="135"/>
      <c r="B64" s="133"/>
      <c r="C64" s="133"/>
      <c r="D64" s="133"/>
      <c r="E64" s="219"/>
      <c r="F64" s="193" t="s">
        <v>54</v>
      </c>
      <c r="G64" s="194"/>
      <c r="H64" s="194"/>
      <c r="I64" s="194"/>
      <c r="J64" s="194"/>
      <c r="K64" s="194"/>
      <c r="L64" s="194"/>
      <c r="M64" s="194"/>
      <c r="N64" s="194"/>
      <c r="O64" s="194"/>
      <c r="P64" s="195"/>
      <c r="Q64" s="9"/>
    </row>
    <row r="65" spans="1:17" ht="12.95" customHeight="1" x14ac:dyDescent="0.2">
      <c r="A65" s="135"/>
      <c r="B65" s="133"/>
      <c r="C65" s="133"/>
      <c r="D65" s="133"/>
      <c r="E65" s="219"/>
      <c r="F65" s="192" t="s">
        <v>55</v>
      </c>
      <c r="G65" s="183"/>
      <c r="H65" s="183" t="s">
        <v>56</v>
      </c>
      <c r="I65" s="183"/>
      <c r="J65" s="183"/>
      <c r="K65" s="183"/>
      <c r="L65" s="183" t="s">
        <v>57</v>
      </c>
      <c r="M65" s="183"/>
      <c r="N65" s="183"/>
      <c r="O65" s="211" t="s">
        <v>58</v>
      </c>
      <c r="P65" s="212"/>
      <c r="Q65" s="9"/>
    </row>
    <row r="66" spans="1:17" ht="12.95" customHeight="1" x14ac:dyDescent="0.25">
      <c r="A66" s="135"/>
      <c r="B66" s="133"/>
      <c r="C66" s="133"/>
      <c r="D66" s="133"/>
      <c r="E66" s="219"/>
      <c r="F66" s="184"/>
      <c r="G66" s="166"/>
      <c r="H66" s="166" t="s">
        <v>59</v>
      </c>
      <c r="I66" s="166"/>
      <c r="J66" s="166" t="s">
        <v>60</v>
      </c>
      <c r="K66" s="166"/>
      <c r="L66" s="65" t="s">
        <v>59</v>
      </c>
      <c r="M66" s="166" t="s">
        <v>60</v>
      </c>
      <c r="N66" s="166"/>
      <c r="O66" s="166" t="s">
        <v>52</v>
      </c>
      <c r="P66" s="167"/>
      <c r="Q66" s="9"/>
    </row>
    <row r="67" spans="1:17" ht="12.95" customHeight="1" x14ac:dyDescent="0.25">
      <c r="A67" s="135"/>
      <c r="B67" s="133"/>
      <c r="C67" s="133"/>
      <c r="D67" s="133"/>
      <c r="E67" s="219"/>
      <c r="F67" s="184" t="s">
        <v>61</v>
      </c>
      <c r="G67" s="166"/>
      <c r="H67" s="81">
        <f>ABS(O52)</f>
        <v>5.4</v>
      </c>
      <c r="I67" s="81"/>
      <c r="J67" s="81">
        <f>ABS(O53)</f>
        <v>13.5</v>
      </c>
      <c r="K67" s="81"/>
      <c r="L67" s="62">
        <f>P52</f>
        <v>5.612165516685911</v>
      </c>
      <c r="M67" s="81">
        <f>P53+M72</f>
        <v>14.0440934451617</v>
      </c>
      <c r="N67" s="81"/>
      <c r="O67" s="71">
        <f>(4*(O32+O33+O34)/100)*1000/O24</f>
        <v>0.44897324133487299</v>
      </c>
      <c r="P67" s="72"/>
      <c r="Q67" s="9"/>
    </row>
    <row r="68" spans="1:17" ht="12.95" customHeight="1" x14ac:dyDescent="0.25">
      <c r="A68" s="135"/>
      <c r="B68" s="213"/>
      <c r="C68" s="133"/>
      <c r="D68" s="133"/>
      <c r="E68" s="219"/>
      <c r="F68" s="184" t="s">
        <v>62</v>
      </c>
      <c r="G68" s="166"/>
      <c r="H68" s="81">
        <f>ABS(O54)</f>
        <v>5.4</v>
      </c>
      <c r="I68" s="81"/>
      <c r="J68" s="81">
        <f>ABS(O55)</f>
        <v>13.5</v>
      </c>
      <c r="K68" s="81"/>
      <c r="L68" s="62">
        <f>ABS(P54)</f>
        <v>5.5195501350249305</v>
      </c>
      <c r="M68" s="81">
        <f>ABS(P55)</f>
        <v>13.798875337562327</v>
      </c>
      <c r="N68" s="81"/>
      <c r="O68" s="71">
        <f>(4*(O32+O33+O34)/100)*1000/O26</f>
        <v>0.44156401080199448</v>
      </c>
      <c r="P68" s="72"/>
      <c r="Q68" s="9"/>
    </row>
    <row r="69" spans="1:17" ht="12.95" hidden="1" customHeight="1" x14ac:dyDescent="0.25">
      <c r="A69" s="135"/>
      <c r="B69" s="214"/>
      <c r="C69" s="133"/>
      <c r="D69" s="133"/>
      <c r="E69" s="219"/>
      <c r="F69" s="184"/>
      <c r="G69" s="166"/>
      <c r="H69" s="81"/>
      <c r="I69" s="81"/>
      <c r="J69" s="81"/>
      <c r="K69" s="81"/>
      <c r="L69" s="62"/>
      <c r="M69" s="81"/>
      <c r="N69" s="81"/>
      <c r="O69" s="71"/>
      <c r="P69" s="72"/>
      <c r="Q69" s="9"/>
    </row>
    <row r="70" spans="1:17" ht="12.95" customHeight="1" thickBot="1" x14ac:dyDescent="0.3">
      <c r="A70" s="135"/>
      <c r="B70" s="214"/>
      <c r="C70" s="133"/>
      <c r="D70" s="133"/>
      <c r="E70" s="219"/>
      <c r="F70" s="185" t="s">
        <v>120</v>
      </c>
      <c r="G70" s="186"/>
      <c r="H70" s="82">
        <f>ABS(O62)</f>
        <v>0.11333333333333334</v>
      </c>
      <c r="I70" s="82"/>
      <c r="J70" s="82">
        <f>ABS(O63)</f>
        <v>2.8333333333333335</v>
      </c>
      <c r="K70" s="82"/>
      <c r="L70" s="63">
        <f>ABS(P62)</f>
        <v>0.11518319628960387</v>
      </c>
      <c r="M70" s="82">
        <f>ABS(P63+M73)</f>
        <v>2.8812568390684303</v>
      </c>
      <c r="N70" s="82"/>
      <c r="O70" s="73">
        <f>(4*(O63)/100)*1000/O28</f>
        <v>0.11518319628960387</v>
      </c>
      <c r="P70" s="74"/>
      <c r="Q70" s="9"/>
    </row>
    <row r="71" spans="1:17" ht="12.95" hidden="1" customHeight="1" thickBot="1" x14ac:dyDescent="0.3">
      <c r="A71" s="135"/>
      <c r="B71" s="214"/>
      <c r="C71" s="133"/>
      <c r="D71" s="133"/>
      <c r="E71" s="133"/>
      <c r="F71" s="91"/>
      <c r="G71" s="187"/>
      <c r="H71" s="83"/>
      <c r="I71" s="83"/>
      <c r="J71" s="83"/>
      <c r="K71" s="83"/>
      <c r="L71" s="67"/>
      <c r="M71" s="83"/>
      <c r="N71" s="83"/>
      <c r="O71" s="75"/>
      <c r="P71" s="76"/>
      <c r="Q71" s="9"/>
    </row>
    <row r="72" spans="1:17" ht="12.95" hidden="1" customHeight="1" x14ac:dyDescent="0.2">
      <c r="A72" s="135"/>
      <c r="B72" s="214"/>
      <c r="C72" s="133"/>
      <c r="D72" s="133"/>
      <c r="E72" s="133"/>
      <c r="F72" s="182" t="s">
        <v>63</v>
      </c>
      <c r="G72" s="188"/>
      <c r="H72" s="190"/>
      <c r="I72" s="190"/>
      <c r="J72" s="84">
        <f>0.0025*(19.5*(O3+O5))</f>
        <v>1.3162500000000002E-2</v>
      </c>
      <c r="K72" s="84"/>
      <c r="L72" s="46"/>
      <c r="M72" s="84">
        <f>J72*1000/O24</f>
        <v>1.3679653446921913E-2</v>
      </c>
      <c r="N72" s="84"/>
      <c r="O72" s="77">
        <f>4*M72/100</f>
        <v>5.4718613787687654E-4</v>
      </c>
      <c r="P72" s="78"/>
      <c r="Q72" s="9"/>
    </row>
    <row r="73" spans="1:17" ht="12.95" hidden="1" customHeight="1" x14ac:dyDescent="0.2">
      <c r="A73" s="135"/>
      <c r="B73" s="214"/>
      <c r="C73" s="133"/>
      <c r="D73" s="133"/>
      <c r="E73" s="133"/>
      <c r="F73" s="88" t="s">
        <v>64</v>
      </c>
      <c r="G73" s="189"/>
      <c r="H73" s="191"/>
      <c r="I73" s="191"/>
      <c r="J73" s="85">
        <f>0.0025*(6*O6)</f>
        <v>1.6500000000000002E-3</v>
      </c>
      <c r="K73" s="85"/>
      <c r="L73" s="23"/>
      <c r="M73" s="85">
        <f>J73*1000/O28</f>
        <v>1.6769318283339385E-3</v>
      </c>
      <c r="N73" s="85"/>
      <c r="O73" s="79">
        <f>4*M73/100</f>
        <v>6.7077273133357547E-5</v>
      </c>
      <c r="P73" s="80"/>
      <c r="Q73" s="9"/>
    </row>
    <row r="74" spans="1:17" ht="12.95" customHeight="1" x14ac:dyDescent="0.2">
      <c r="A74" s="135"/>
      <c r="B74" s="214"/>
      <c r="C74" s="133"/>
      <c r="D74" s="133"/>
      <c r="E74" s="133"/>
      <c r="F74" s="64"/>
      <c r="G74" s="24"/>
      <c r="H74" s="24"/>
      <c r="I74" s="24"/>
      <c r="J74" s="24"/>
      <c r="K74" s="24"/>
      <c r="L74" s="24"/>
      <c r="M74" s="24"/>
      <c r="N74" s="24"/>
      <c r="O74" s="24"/>
      <c r="P74" s="27"/>
      <c r="Q74" s="9"/>
    </row>
    <row r="75" spans="1:17" ht="12.95" customHeight="1" x14ac:dyDescent="0.2">
      <c r="A75" s="135"/>
      <c r="B75" s="214"/>
      <c r="C75" s="133"/>
      <c r="D75" s="133"/>
      <c r="E75" s="133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27"/>
      <c r="Q75" s="9"/>
    </row>
    <row r="76" spans="1:17" ht="12.95" customHeight="1" x14ac:dyDescent="0.2">
      <c r="A76" s="135"/>
      <c r="B76" s="215"/>
      <c r="C76" s="133"/>
      <c r="D76" s="133"/>
      <c r="E76" s="133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27"/>
      <c r="Q76" s="9"/>
    </row>
    <row r="77" spans="1:17" ht="12.95" customHeight="1" x14ac:dyDescent="0.2">
      <c r="A77" s="7"/>
      <c r="B77" s="8"/>
      <c r="C77" s="8"/>
      <c r="D77" s="131" t="s">
        <v>84</v>
      </c>
      <c r="E77" s="133"/>
      <c r="F77" s="64"/>
      <c r="G77" s="24"/>
      <c r="H77" s="24"/>
      <c r="I77" s="24"/>
      <c r="J77" s="24"/>
      <c r="K77" s="24"/>
      <c r="L77" s="24"/>
      <c r="M77" s="24"/>
      <c r="N77" s="24"/>
      <c r="O77" s="24"/>
      <c r="P77" s="27"/>
      <c r="Q77" s="9"/>
    </row>
    <row r="78" spans="1:17" ht="12.95" customHeight="1" x14ac:dyDescent="0.2">
      <c r="A78" s="7"/>
      <c r="B78" s="8"/>
      <c r="C78" s="8"/>
      <c r="D78" s="131"/>
      <c r="E78" s="133"/>
      <c r="F78" s="64"/>
      <c r="G78" s="24"/>
      <c r="H78" s="24"/>
      <c r="I78" s="24"/>
      <c r="J78" s="24"/>
      <c r="K78" s="24"/>
      <c r="L78" s="24"/>
      <c r="M78" s="24"/>
      <c r="N78" s="24"/>
      <c r="O78" s="24"/>
      <c r="P78" s="27"/>
      <c r="Q78" s="9"/>
    </row>
    <row r="79" spans="1:17" ht="12.95" customHeight="1" x14ac:dyDescent="0.2">
      <c r="A79" s="7"/>
      <c r="B79" s="8"/>
      <c r="C79" s="8"/>
      <c r="D79" s="131"/>
      <c r="E79" s="133"/>
      <c r="F79" s="64"/>
      <c r="G79" s="24"/>
      <c r="H79" s="24"/>
      <c r="I79" s="24"/>
      <c r="J79" s="24"/>
      <c r="K79" s="24"/>
      <c r="L79" s="24"/>
      <c r="M79" s="24"/>
      <c r="N79" s="24"/>
      <c r="O79" s="24"/>
      <c r="P79" s="27"/>
      <c r="Q79" s="9"/>
    </row>
    <row r="80" spans="1:17" ht="12.95" customHeight="1" x14ac:dyDescent="0.2">
      <c r="A80" s="7"/>
      <c r="B80" s="8"/>
      <c r="C80" s="8"/>
      <c r="D80" s="131"/>
      <c r="E80" s="133"/>
      <c r="F80" s="64"/>
      <c r="G80" s="24"/>
      <c r="H80" s="24"/>
      <c r="I80" s="24"/>
      <c r="J80" s="24"/>
      <c r="K80" s="24"/>
      <c r="L80" s="24"/>
      <c r="M80" s="24"/>
      <c r="N80" s="24"/>
      <c r="O80" s="24"/>
      <c r="P80" s="27"/>
      <c r="Q80" s="9"/>
    </row>
    <row r="81" spans="1:17" ht="12.95" customHeight="1" x14ac:dyDescent="0.25">
      <c r="A81" s="7"/>
      <c r="B81" s="8"/>
      <c r="C81" s="8"/>
      <c r="D81" s="131"/>
      <c r="E81" s="133"/>
      <c r="F81" s="8"/>
      <c r="G81" s="8"/>
      <c r="H81" s="8"/>
      <c r="I81" s="8"/>
      <c r="J81" s="8"/>
      <c r="K81" s="8"/>
      <c r="L81" s="8"/>
      <c r="M81" s="8"/>
      <c r="N81" s="8"/>
      <c r="O81" s="8"/>
      <c r="P81" s="10"/>
      <c r="Q81" s="9"/>
    </row>
    <row r="82" spans="1:17" ht="12.95" customHeight="1" x14ac:dyDescent="0.25">
      <c r="A82" s="7"/>
      <c r="B82" s="8"/>
      <c r="C82" s="8"/>
      <c r="D82" s="132"/>
      <c r="E82" s="133"/>
      <c r="F82" s="8"/>
      <c r="G82" s="8"/>
      <c r="H82" s="8"/>
      <c r="I82" s="8"/>
      <c r="J82" s="8"/>
      <c r="K82" s="8"/>
      <c r="L82" s="8"/>
      <c r="M82" s="8"/>
      <c r="N82" s="8"/>
      <c r="O82" s="8"/>
      <c r="P82" s="10"/>
      <c r="Q82" s="9"/>
    </row>
    <row r="83" spans="1:17" ht="12.95" customHeight="1" x14ac:dyDescent="0.25">
      <c r="A83" s="7"/>
      <c r="B83" s="8"/>
      <c r="C83" s="8"/>
      <c r="D83" s="135" t="s">
        <v>83</v>
      </c>
      <c r="E83" s="133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8"/>
      <c r="Q83" s="9"/>
    </row>
    <row r="84" spans="1:17" ht="12.95" customHeight="1" x14ac:dyDescent="0.25">
      <c r="A84" s="7"/>
      <c r="B84" s="8"/>
      <c r="C84" s="8"/>
      <c r="D84" s="135"/>
      <c r="E84" s="133"/>
      <c r="F84" s="1"/>
      <c r="G84" s="2"/>
      <c r="H84" s="2"/>
      <c r="I84" s="2"/>
      <c r="J84" s="2"/>
      <c r="K84" s="2"/>
      <c r="L84" s="69" t="s">
        <v>85</v>
      </c>
      <c r="M84" s="69"/>
      <c r="N84" s="69"/>
      <c r="O84" s="69"/>
      <c r="P84" s="69"/>
      <c r="Q84" s="9"/>
    </row>
    <row r="85" spans="1:17" ht="12.95" customHeight="1" x14ac:dyDescent="0.25">
      <c r="A85" s="7"/>
      <c r="B85" s="8"/>
      <c r="C85" s="8"/>
      <c r="D85" s="135"/>
      <c r="E85" s="133"/>
      <c r="F85" s="1"/>
      <c r="G85" s="2"/>
      <c r="H85" s="2"/>
      <c r="I85" s="2"/>
      <c r="J85" s="2"/>
      <c r="K85" s="2"/>
      <c r="L85" s="69"/>
      <c r="M85" s="69"/>
      <c r="N85" s="69"/>
      <c r="O85" s="69"/>
      <c r="P85" s="69"/>
      <c r="Q85" s="9"/>
    </row>
    <row r="86" spans="1:17" ht="12.95" customHeight="1" x14ac:dyDescent="0.25">
      <c r="A86" s="7"/>
      <c r="B86" s="8"/>
      <c r="C86" s="8"/>
      <c r="D86" s="135"/>
      <c r="E86" s="133"/>
      <c r="F86" s="1"/>
      <c r="G86" s="2"/>
      <c r="H86" s="2"/>
      <c r="I86" s="2"/>
      <c r="J86" s="2"/>
      <c r="K86" s="2"/>
      <c r="L86" s="68" t="s">
        <v>118</v>
      </c>
      <c r="M86" s="69"/>
      <c r="N86" s="69"/>
      <c r="O86" s="69"/>
      <c r="P86" s="69"/>
      <c r="Q86" s="9"/>
    </row>
    <row r="87" spans="1:17" ht="12.95" customHeight="1" x14ac:dyDescent="0.25">
      <c r="A87" s="7"/>
      <c r="B87" s="8"/>
      <c r="C87" s="8"/>
      <c r="D87" s="135"/>
      <c r="E87" s="133"/>
      <c r="F87" s="1"/>
      <c r="G87" s="2"/>
      <c r="H87" s="2"/>
      <c r="I87" s="2"/>
      <c r="J87" s="2"/>
      <c r="K87" s="2"/>
      <c r="L87" s="69"/>
      <c r="M87" s="69"/>
      <c r="N87" s="69"/>
      <c r="O87" s="69"/>
      <c r="P87" s="69"/>
      <c r="Q87" s="9"/>
    </row>
    <row r="88" spans="1:17" ht="12.95" customHeight="1" x14ac:dyDescent="0.25">
      <c r="A88" s="7"/>
      <c r="B88" s="8"/>
      <c r="C88" s="8"/>
      <c r="D88" s="135"/>
      <c r="E88" s="133"/>
      <c r="F88" s="1" t="s">
        <v>65</v>
      </c>
      <c r="G88" s="2" t="s">
        <v>66</v>
      </c>
      <c r="H88" s="2" t="s">
        <v>67</v>
      </c>
      <c r="I88" s="2" t="s">
        <v>68</v>
      </c>
      <c r="J88" s="2" t="s">
        <v>69</v>
      </c>
      <c r="K88" s="2" t="s">
        <v>70</v>
      </c>
      <c r="L88" s="69"/>
      <c r="M88" s="69"/>
      <c r="N88" s="69"/>
      <c r="O88" s="69"/>
      <c r="P88" s="69"/>
      <c r="Q88" s="9"/>
    </row>
    <row r="89" spans="1:17" ht="12.95" customHeight="1" x14ac:dyDescent="0.25">
      <c r="A89" s="7"/>
      <c r="B89" s="8"/>
      <c r="C89" s="8"/>
      <c r="D89" s="135" t="s">
        <v>82</v>
      </c>
      <c r="E89" s="133"/>
      <c r="F89" s="137" t="s">
        <v>74</v>
      </c>
      <c r="G89" s="136"/>
      <c r="H89" s="136" t="s">
        <v>86</v>
      </c>
      <c r="I89" s="136"/>
      <c r="J89" s="2"/>
      <c r="K89" s="2" t="s">
        <v>73</v>
      </c>
      <c r="L89" s="70" t="s">
        <v>80</v>
      </c>
      <c r="M89" s="134"/>
      <c r="N89" s="2" t="s">
        <v>72</v>
      </c>
      <c r="O89" s="2" t="s">
        <v>67</v>
      </c>
      <c r="P89" s="2" t="s">
        <v>71</v>
      </c>
      <c r="Q89" s="9"/>
    </row>
    <row r="90" spans="1:17" ht="12.95" customHeight="1" x14ac:dyDescent="0.25">
      <c r="A90" s="7"/>
      <c r="B90" s="8"/>
      <c r="C90" s="8"/>
      <c r="D90" s="135"/>
      <c r="E90" s="133"/>
      <c r="F90" s="137" t="s">
        <v>75</v>
      </c>
      <c r="G90" s="136"/>
      <c r="H90" s="136" t="s">
        <v>86</v>
      </c>
      <c r="I90" s="136"/>
      <c r="J90" s="2"/>
      <c r="K90" s="2" t="s">
        <v>73</v>
      </c>
      <c r="L90" s="134"/>
      <c r="M90" s="134"/>
      <c r="N90" s="134" t="s">
        <v>79</v>
      </c>
      <c r="O90" s="134">
        <v>1</v>
      </c>
      <c r="P90" s="134"/>
      <c r="Q90" s="9"/>
    </row>
    <row r="91" spans="1:17" ht="12.95" customHeight="1" x14ac:dyDescent="0.25">
      <c r="A91" s="7"/>
      <c r="B91" s="8"/>
      <c r="C91" s="8"/>
      <c r="D91" s="135"/>
      <c r="E91" s="133"/>
      <c r="F91" s="137" t="s">
        <v>76</v>
      </c>
      <c r="G91" s="136"/>
      <c r="H91" s="136" t="s">
        <v>86</v>
      </c>
      <c r="I91" s="136"/>
      <c r="J91" s="2"/>
      <c r="K91" s="2" t="s">
        <v>73</v>
      </c>
      <c r="L91" s="134"/>
      <c r="M91" s="134"/>
      <c r="N91" s="134"/>
      <c r="O91" s="134"/>
      <c r="P91" s="134"/>
      <c r="Q91" s="9"/>
    </row>
    <row r="92" spans="1:17" x14ac:dyDescent="0.25">
      <c r="A92" s="7"/>
      <c r="B92" s="8"/>
      <c r="C92" s="8"/>
      <c r="D92" s="135"/>
      <c r="E92" s="133"/>
      <c r="F92" s="137"/>
      <c r="G92" s="136"/>
      <c r="H92" s="136"/>
      <c r="I92" s="136"/>
      <c r="J92" s="2"/>
      <c r="K92" s="2"/>
      <c r="L92" s="70" t="s">
        <v>0</v>
      </c>
      <c r="M92" s="70"/>
      <c r="N92" s="134"/>
      <c r="O92" s="134"/>
      <c r="P92" s="134"/>
      <c r="Q92" s="9"/>
    </row>
    <row r="93" spans="1:17" x14ac:dyDescent="0.25">
      <c r="A93" s="7"/>
      <c r="B93" s="8"/>
      <c r="C93" s="8"/>
      <c r="D93" s="135"/>
      <c r="E93" s="133"/>
      <c r="F93" s="137" t="s">
        <v>77</v>
      </c>
      <c r="G93" s="136"/>
      <c r="H93" s="136" t="s">
        <v>86</v>
      </c>
      <c r="I93" s="136"/>
      <c r="J93" s="2"/>
      <c r="K93" s="2" t="s">
        <v>73</v>
      </c>
      <c r="L93" s="70"/>
      <c r="M93" s="70"/>
      <c r="N93" s="134"/>
      <c r="O93" s="134"/>
      <c r="P93" s="134"/>
      <c r="Q93" s="9"/>
    </row>
    <row r="94" spans="1:17" x14ac:dyDescent="0.25">
      <c r="A94" s="7"/>
      <c r="B94" s="8"/>
      <c r="C94" s="8"/>
      <c r="D94" s="135"/>
      <c r="E94" s="133"/>
      <c r="F94" s="137" t="s">
        <v>78</v>
      </c>
      <c r="G94" s="136"/>
      <c r="H94" s="136" t="s">
        <v>86</v>
      </c>
      <c r="I94" s="136"/>
      <c r="J94" s="2"/>
      <c r="K94" s="2" t="s">
        <v>73</v>
      </c>
      <c r="L94" s="70"/>
      <c r="M94" s="70"/>
      <c r="N94" s="134"/>
      <c r="O94" s="134"/>
      <c r="P94" s="134"/>
      <c r="Q94" s="9"/>
    </row>
    <row r="95" spans="1:17" ht="16.5" thickBot="1" x14ac:dyDescent="0.3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3"/>
    </row>
  </sheetData>
  <mergeCells count="186">
    <mergeCell ref="B52:B62"/>
    <mergeCell ref="C52:C62"/>
    <mergeCell ref="D52:D62"/>
    <mergeCell ref="E52:E62"/>
    <mergeCell ref="C68:C76"/>
    <mergeCell ref="D68:D76"/>
    <mergeCell ref="E68:E76"/>
    <mergeCell ref="A47:A76"/>
    <mergeCell ref="B68:B76"/>
    <mergeCell ref="B47:B51"/>
    <mergeCell ref="C47:C51"/>
    <mergeCell ref="D47:D51"/>
    <mergeCell ref="E47:E51"/>
    <mergeCell ref="B63:B67"/>
    <mergeCell ref="C63:C67"/>
    <mergeCell ref="D63:D67"/>
    <mergeCell ref="E63:E67"/>
    <mergeCell ref="F2:P2"/>
    <mergeCell ref="J67:K67"/>
    <mergeCell ref="J68:K68"/>
    <mergeCell ref="J69:K69"/>
    <mergeCell ref="J70:K70"/>
    <mergeCell ref="J71:K71"/>
    <mergeCell ref="J72:K72"/>
    <mergeCell ref="F64:P64"/>
    <mergeCell ref="F56:J59"/>
    <mergeCell ref="F60:J61"/>
    <mergeCell ref="F62:J63"/>
    <mergeCell ref="F26:K26"/>
    <mergeCell ref="F27:K27"/>
    <mergeCell ref="F28:K28"/>
    <mergeCell ref="F29:K29"/>
    <mergeCell ref="F30:K30"/>
    <mergeCell ref="F32:K32"/>
    <mergeCell ref="F33:K33"/>
    <mergeCell ref="F34:K34"/>
    <mergeCell ref="K60:N60"/>
    <mergeCell ref="K61:N61"/>
    <mergeCell ref="K62:N62"/>
    <mergeCell ref="K63:N63"/>
    <mergeCell ref="O65:P65"/>
    <mergeCell ref="J73:K73"/>
    <mergeCell ref="L65:N65"/>
    <mergeCell ref="H65:K65"/>
    <mergeCell ref="F67:G67"/>
    <mergeCell ref="F68:G68"/>
    <mergeCell ref="F69:G69"/>
    <mergeCell ref="F70:G70"/>
    <mergeCell ref="F71:G71"/>
    <mergeCell ref="F72:G72"/>
    <mergeCell ref="F73:G73"/>
    <mergeCell ref="H66:I66"/>
    <mergeCell ref="H67:I67"/>
    <mergeCell ref="H68:I68"/>
    <mergeCell ref="H69:I69"/>
    <mergeCell ref="H70:I70"/>
    <mergeCell ref="H71:I71"/>
    <mergeCell ref="H72:I72"/>
    <mergeCell ref="H73:I73"/>
    <mergeCell ref="F65:G66"/>
    <mergeCell ref="J66:K66"/>
    <mergeCell ref="M66:N66"/>
    <mergeCell ref="O66:P6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K52:N52"/>
    <mergeCell ref="K53:N53"/>
    <mergeCell ref="K54:N54"/>
    <mergeCell ref="K55:N55"/>
    <mergeCell ref="K56:N56"/>
    <mergeCell ref="K57:N57"/>
    <mergeCell ref="F52:J53"/>
    <mergeCell ref="F54:J55"/>
    <mergeCell ref="K40:N40"/>
    <mergeCell ref="K41:N41"/>
    <mergeCell ref="F35:K35"/>
    <mergeCell ref="L17:N17"/>
    <mergeCell ref="F39:J40"/>
    <mergeCell ref="F41:J44"/>
    <mergeCell ref="L3:N3"/>
    <mergeCell ref="L4:N4"/>
    <mergeCell ref="L5:N5"/>
    <mergeCell ref="L6:N6"/>
    <mergeCell ref="L7:N7"/>
    <mergeCell ref="L8:N8"/>
    <mergeCell ref="L9:N9"/>
    <mergeCell ref="L10:N10"/>
    <mergeCell ref="K42:N42"/>
    <mergeCell ref="F3:K3"/>
    <mergeCell ref="F4:K4"/>
    <mergeCell ref="F5:K5"/>
    <mergeCell ref="F6:K6"/>
    <mergeCell ref="F7:K7"/>
    <mergeCell ref="F8:K8"/>
    <mergeCell ref="L11:N11"/>
    <mergeCell ref="L12:N12"/>
    <mergeCell ref="L13:N13"/>
    <mergeCell ref="L14:N14"/>
    <mergeCell ref="L15:N15"/>
    <mergeCell ref="L16:N16"/>
    <mergeCell ref="L20:N20"/>
    <mergeCell ref="K39:L39"/>
    <mergeCell ref="F31:P31"/>
    <mergeCell ref="R22:S22"/>
    <mergeCell ref="L32:N32"/>
    <mergeCell ref="F20:K20"/>
    <mergeCell ref="F21:K21"/>
    <mergeCell ref="F22:K22"/>
    <mergeCell ref="F23:K23"/>
    <mergeCell ref="F24:K24"/>
    <mergeCell ref="F25:K25"/>
    <mergeCell ref="F18:K18"/>
    <mergeCell ref="F19:K19"/>
    <mergeCell ref="L21:N21"/>
    <mergeCell ref="L22:N22"/>
    <mergeCell ref="R21:S21"/>
    <mergeCell ref="L18:N18"/>
    <mergeCell ref="L19:N19"/>
    <mergeCell ref="D77:D82"/>
    <mergeCell ref="E77:E82"/>
    <mergeCell ref="N92:P94"/>
    <mergeCell ref="N90:N91"/>
    <mergeCell ref="O90:O91"/>
    <mergeCell ref="P90:P91"/>
    <mergeCell ref="L89:M91"/>
    <mergeCell ref="D89:D94"/>
    <mergeCell ref="D83:D88"/>
    <mergeCell ref="E83:E88"/>
    <mergeCell ref="E89:E94"/>
    <mergeCell ref="H89:I89"/>
    <mergeCell ref="H90:I90"/>
    <mergeCell ref="H91:I91"/>
    <mergeCell ref="H92:I92"/>
    <mergeCell ref="H93:I93"/>
    <mergeCell ref="H94:I94"/>
    <mergeCell ref="F89:G89"/>
    <mergeCell ref="F90:G90"/>
    <mergeCell ref="F91:G91"/>
    <mergeCell ref="F92:G92"/>
    <mergeCell ref="F93:G93"/>
    <mergeCell ref="F94:G94"/>
    <mergeCell ref="L84:P85"/>
    <mergeCell ref="F45:J46"/>
    <mergeCell ref="K58:N58"/>
    <mergeCell ref="K59:N59"/>
    <mergeCell ref="F38:P38"/>
    <mergeCell ref="L33:N33"/>
    <mergeCell ref="L34:N34"/>
    <mergeCell ref="L35:N35"/>
    <mergeCell ref="L36:N36"/>
    <mergeCell ref="L37:N37"/>
    <mergeCell ref="F36:K36"/>
    <mergeCell ref="F37:K37"/>
    <mergeCell ref="K46:N46"/>
    <mergeCell ref="F51:J51"/>
    <mergeCell ref="F47:P47"/>
    <mergeCell ref="F48:P48"/>
    <mergeCell ref="F49:P49"/>
    <mergeCell ref="F50:P50"/>
    <mergeCell ref="K45:N45"/>
    <mergeCell ref="K51:N51"/>
    <mergeCell ref="K43:N43"/>
    <mergeCell ref="K44:N44"/>
    <mergeCell ref="L86:P88"/>
    <mergeCell ref="L92:M94"/>
    <mergeCell ref="O67:P67"/>
    <mergeCell ref="O68:P68"/>
    <mergeCell ref="O69:P69"/>
    <mergeCell ref="O70:P70"/>
    <mergeCell ref="O71:P71"/>
    <mergeCell ref="O72:P72"/>
    <mergeCell ref="O73:P73"/>
    <mergeCell ref="M67:N67"/>
    <mergeCell ref="M68:N68"/>
    <mergeCell ref="M69:N69"/>
    <mergeCell ref="M70:N70"/>
    <mergeCell ref="M71:N71"/>
    <mergeCell ref="M72:N72"/>
    <mergeCell ref="M73:N73"/>
  </mergeCells>
  <pageMargins left="0.23622047244094491" right="0.15748031496062992" top="0.23622047244094491" bottom="0.19685039370078741" header="0.31496062992125984" footer="0.31496062992125984"/>
  <pageSetup paperSize="9" scale="77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29" r:id="rId4">
          <objectPr defaultSize="0" autoPict="0" r:id="rId5">
            <anchor moveWithCells="1">
              <from>
                <xdr:col>13</xdr:col>
                <xdr:colOff>9525</xdr:colOff>
                <xdr:row>91</xdr:row>
                <xdr:rowOff>9525</xdr:rowOff>
              </from>
              <to>
                <xdr:col>15</xdr:col>
                <xdr:colOff>704850</xdr:colOff>
                <xdr:row>94</xdr:row>
                <xdr:rowOff>0</xdr:rowOff>
              </to>
            </anchor>
          </objectPr>
        </oleObject>
      </mc:Choice>
      <mc:Fallback>
        <oleObject progId="AutoCADLT.Drawing.18" shapeId="10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2017-04-12T16:34:35Z</cp:lastPrinted>
  <dcterms:created xsi:type="dcterms:W3CDTF">2017-03-29T13:12:26Z</dcterms:created>
  <dcterms:modified xsi:type="dcterms:W3CDTF">2017-08-04T11:30:54Z</dcterms:modified>
</cp:coreProperties>
</file>